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I:\MATC Desktop\PROTECTIVE SERVICES\emstraining\Library\SP2019\"/>
    </mc:Choice>
  </mc:AlternateContent>
  <bookViews>
    <workbookView xWindow="0" yWindow="0" windowWidth="25200" windowHeight="11850"/>
  </bookViews>
  <sheets>
    <sheet name="2017 Annual Report" sheetId="1" r:id="rId1"/>
  </sheets>
  <definedNames>
    <definedName name="_xlnm._FilterDatabase" localSheetId="0" hidden="1">'2017 Annual Report'!$A$1:$CE$359</definedName>
    <definedName name="Attrition">OFFSET('2017 Annual Report'!$A$41,0,0,29,'2017 Annual Report'!$S$14)</definedName>
    <definedName name="Cover">OFFSET('2017 Annual Report'!$A$1,0,0,41,'2017 Annual Report'!$S$13)</definedName>
    <definedName name="DE">OFFSET('2017 Annual Report'!$A$289,0,0,34,'2017 Annual Report'!$S$22)</definedName>
    <definedName name="Employer">OFFSET('2017 Annual Report'!$A$151,0,0,36,'2017 Annual Report'!$S$18)</definedName>
    <definedName name="Graduate">OFFSET('2017 Annual Report'!$A$115,0,0,35,'2017 Annual Report'!$S$17)</definedName>
    <definedName name="Last">OFFSET('2017 Annual Report'!$A$324,0,0,31,'2017 Annual Report'!$S$22)</definedName>
    <definedName name="Placement">OFFSET('2017 Annual Report'!$A$94,0,0,20,'2017 Annual Report'!$S$16)</definedName>
    <definedName name="_xlnm.Print_Area" localSheetId="0">Cover,Attrition,Written,Placement,Graduate,Employer,Satellite,RAM,DE,Last</definedName>
    <definedName name="RAM">OFFSET('2017 Annual Report'!$A$220,0,0,'2017 Annual Report'!$S$341,'2017 Annual Report'!$S$19)</definedName>
    <definedName name="Satellite">OFFSET('2017 Annual Report'!$A$188,0,0,31,'2017 Annual Report'!$S$21)</definedName>
    <definedName name="Written">OFFSET('2017 Annual Report'!$A$71,0,0,22,'2017 Annual Report'!$S$15)</definedName>
    <definedName name="Z_993DF57F_A792_4998_A444_891BBBD74251_.wvu.PrintArea" localSheetId="0" hidden="1">'2017 Annual Report'!$A$1:$N$68,'2017 Annual Report'!$A$71:$CE$113</definedName>
  </definedNames>
  <calcPr calcId="162913"/>
  <customWorkbookViews>
    <customWorkbookView name="Print1" guid="{993DF57F-A792-4998-A444-891BBBD74251}" includeHiddenRowCol="0" maximized="1" windowWidth="1916" windowHeight="855"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74" i="1" l="1"/>
  <c r="P73" i="1"/>
  <c r="B86" i="1"/>
  <c r="B79" i="1"/>
  <c r="B77" i="1"/>
  <c r="J85" i="1"/>
  <c r="M85" i="1" l="1"/>
  <c r="L85" i="1"/>
  <c r="K85" i="1"/>
  <c r="I85" i="1"/>
  <c r="H85" i="1"/>
  <c r="G85" i="1"/>
  <c r="F85" i="1"/>
  <c r="C341" i="1" l="1"/>
  <c r="E85" i="1" l="1"/>
  <c r="C357" i="1" l="1"/>
  <c r="J43" i="1" l="1"/>
  <c r="O75" i="1" l="1"/>
  <c r="O73" i="1"/>
  <c r="P44" i="1"/>
  <c r="O44" i="1" s="1"/>
  <c r="P347" i="1" l="1"/>
  <c r="O347" i="1" s="1"/>
  <c r="P331" i="1"/>
  <c r="O331" i="1" s="1"/>
  <c r="P329" i="1"/>
  <c r="O329" i="1" s="1"/>
  <c r="P226" i="1"/>
  <c r="O226" i="1" s="1"/>
  <c r="P196" i="1"/>
  <c r="O196" i="1" s="1"/>
  <c r="H216" i="1" l="1"/>
  <c r="H215" i="1"/>
  <c r="H214" i="1"/>
  <c r="H213" i="1"/>
  <c r="H212" i="1"/>
  <c r="H211" i="1"/>
  <c r="H210" i="1"/>
  <c r="H209" i="1"/>
  <c r="H208" i="1"/>
  <c r="H207" i="1"/>
  <c r="H206" i="1"/>
  <c r="H205" i="1"/>
  <c r="H204" i="1"/>
  <c r="H202" i="1"/>
  <c r="H203" i="1"/>
  <c r="C356" i="1" l="1"/>
  <c r="P61" i="1"/>
  <c r="O61" i="1" s="1"/>
  <c r="P54" i="1"/>
  <c r="O54" i="1" s="1"/>
  <c r="P55" i="1"/>
  <c r="O55" i="1" s="1"/>
  <c r="Q55" i="1"/>
  <c r="O56" i="1" s="1"/>
  <c r="P59" i="1"/>
  <c r="O59" i="1" s="1"/>
  <c r="P60" i="1"/>
  <c r="O60" i="1" s="1"/>
  <c r="P18" i="1"/>
  <c r="O18" i="1" s="1"/>
  <c r="G25" i="1"/>
  <c r="B44" i="1"/>
  <c r="C343" i="1"/>
  <c r="B8" i="1"/>
  <c r="B7" i="1"/>
  <c r="P66" i="1" l="1"/>
  <c r="P28" i="1"/>
  <c r="O28" i="1" s="1"/>
  <c r="P25" i="1"/>
  <c r="O25" i="1" s="1"/>
  <c r="C25" i="1"/>
  <c r="J226" i="1"/>
  <c r="P14" i="1" l="1"/>
  <c r="P16" i="1"/>
  <c r="O16" i="1" s="1"/>
  <c r="P21" i="1"/>
  <c r="O21" i="1" s="1"/>
  <c r="P341" i="1"/>
  <c r="O341" i="1" s="1"/>
  <c r="P343" i="1"/>
  <c r="O343" i="1" s="1"/>
  <c r="O14" i="1" l="1"/>
  <c r="C226" i="1" l="1"/>
  <c r="B160" i="1"/>
  <c r="B107" i="1"/>
  <c r="B85" i="1"/>
  <c r="F158" i="1" l="1"/>
  <c r="G158" i="1"/>
  <c r="H158" i="1"/>
  <c r="I158" i="1"/>
  <c r="J158" i="1"/>
  <c r="K158" i="1"/>
  <c r="L158" i="1"/>
  <c r="M158" i="1"/>
  <c r="E158" i="1"/>
  <c r="E122" i="1"/>
  <c r="F157" i="1"/>
  <c r="G157" i="1"/>
  <c r="H157" i="1"/>
  <c r="I157" i="1"/>
  <c r="J157" i="1"/>
  <c r="K157" i="1"/>
  <c r="L157" i="1"/>
  <c r="M157" i="1"/>
  <c r="E157" i="1"/>
  <c r="E121" i="1"/>
  <c r="S341" i="1" l="1"/>
  <c r="S19" i="1"/>
  <c r="S13" i="1"/>
  <c r="E57" i="1"/>
  <c r="E62" i="1"/>
  <c r="E65" i="1"/>
  <c r="F57" i="1"/>
  <c r="F62" i="1"/>
  <c r="F65" i="1"/>
  <c r="G57" i="1"/>
  <c r="G62" i="1"/>
  <c r="G65" i="1"/>
  <c r="H57" i="1"/>
  <c r="H62" i="1"/>
  <c r="H65" i="1"/>
  <c r="I57" i="1"/>
  <c r="I62" i="1"/>
  <c r="I65" i="1"/>
  <c r="J57" i="1"/>
  <c r="J62" i="1"/>
  <c r="J65" i="1"/>
  <c r="K57" i="1"/>
  <c r="K62" i="1"/>
  <c r="K65" i="1"/>
  <c r="L57" i="1"/>
  <c r="L62" i="1"/>
  <c r="L65" i="1"/>
  <c r="M57" i="1"/>
  <c r="M62" i="1"/>
  <c r="M65" i="1"/>
  <c r="E107" i="1"/>
  <c r="F107" i="1"/>
  <c r="F160" i="1" s="1"/>
  <c r="F182" i="1" s="1"/>
  <c r="G107" i="1"/>
  <c r="G160" i="1" s="1"/>
  <c r="G182" i="1" s="1"/>
  <c r="H107" i="1"/>
  <c r="H160" i="1" s="1"/>
  <c r="H182" i="1" s="1"/>
  <c r="I107" i="1"/>
  <c r="I160" i="1" s="1"/>
  <c r="I182" i="1" s="1"/>
  <c r="J107" i="1"/>
  <c r="J160" i="1" s="1"/>
  <c r="J182" i="1" s="1"/>
  <c r="K107" i="1"/>
  <c r="K160" i="1" s="1"/>
  <c r="K182" i="1" s="1"/>
  <c r="L107" i="1"/>
  <c r="L160" i="1" s="1"/>
  <c r="L182" i="1" s="1"/>
  <c r="M107" i="1"/>
  <c r="M160" i="1" s="1"/>
  <c r="M182" i="1" s="1"/>
  <c r="S22" i="1"/>
  <c r="S21" i="1"/>
  <c r="J196" i="1"/>
  <c r="N105" i="1"/>
  <c r="N106" i="1"/>
  <c r="N161" i="1"/>
  <c r="N124" i="1"/>
  <c r="F201" i="1"/>
  <c r="C201" i="1"/>
  <c r="C116" i="1"/>
  <c r="N83" i="1"/>
  <c r="N84" i="1"/>
  <c r="C264" i="1"/>
  <c r="I264" i="1"/>
  <c r="P264" i="1"/>
  <c r="Y264" i="1"/>
  <c r="AI264" i="1"/>
  <c r="AR264" i="1"/>
  <c r="BA264" i="1"/>
  <c r="BJ264" i="1"/>
  <c r="BS264" i="1"/>
  <c r="CB264" i="1"/>
  <c r="CB239" i="1"/>
  <c r="BS239" i="1"/>
  <c r="BJ239" i="1"/>
  <c r="BA239" i="1"/>
  <c r="AR239" i="1"/>
  <c r="AI239" i="1"/>
  <c r="Y239" i="1"/>
  <c r="P239" i="1"/>
  <c r="I239" i="1"/>
  <c r="C239" i="1"/>
  <c r="B78" i="1"/>
  <c r="B48" i="1"/>
  <c r="C200" i="1"/>
  <c r="H201" i="1"/>
  <c r="D198" i="1"/>
  <c r="H198" i="1"/>
  <c r="AB232" i="1"/>
  <c r="AT232" i="1"/>
  <c r="BL232" i="1"/>
  <c r="CD232" i="1"/>
  <c r="N59" i="1"/>
  <c r="N60" i="1"/>
  <c r="N61" i="1"/>
  <c r="F181" i="1"/>
  <c r="G181" i="1"/>
  <c r="H181" i="1"/>
  <c r="I181" i="1"/>
  <c r="J181" i="1"/>
  <c r="K181" i="1"/>
  <c r="L181" i="1"/>
  <c r="M181" i="1"/>
  <c r="E181" i="1"/>
  <c r="E175" i="1"/>
  <c r="F175" i="1"/>
  <c r="G175" i="1"/>
  <c r="H175" i="1"/>
  <c r="I175" i="1"/>
  <c r="J175" i="1"/>
  <c r="K175" i="1"/>
  <c r="L175" i="1"/>
  <c r="M175" i="1"/>
  <c r="E169" i="1"/>
  <c r="F169" i="1"/>
  <c r="G169" i="1"/>
  <c r="H169" i="1"/>
  <c r="I169" i="1"/>
  <c r="J169" i="1"/>
  <c r="K169" i="1"/>
  <c r="L169" i="1"/>
  <c r="M169" i="1"/>
  <c r="E144" i="1"/>
  <c r="F144" i="1"/>
  <c r="G144" i="1"/>
  <c r="H144" i="1"/>
  <c r="I144" i="1"/>
  <c r="J144" i="1"/>
  <c r="K144" i="1"/>
  <c r="L144" i="1"/>
  <c r="M144" i="1"/>
  <c r="E138" i="1"/>
  <c r="F138" i="1"/>
  <c r="G138" i="1"/>
  <c r="H138" i="1"/>
  <c r="I138" i="1"/>
  <c r="J138" i="1"/>
  <c r="K138" i="1"/>
  <c r="L138" i="1"/>
  <c r="M138" i="1"/>
  <c r="E132" i="1"/>
  <c r="H132" i="1"/>
  <c r="I132" i="1"/>
  <c r="F132" i="1"/>
  <c r="G132" i="1"/>
  <c r="J132" i="1"/>
  <c r="K132" i="1"/>
  <c r="L132" i="1"/>
  <c r="M132" i="1"/>
  <c r="N54" i="1"/>
  <c r="N55" i="1"/>
  <c r="N56" i="1"/>
  <c r="N128" i="1"/>
  <c r="N129" i="1"/>
  <c r="N130" i="1"/>
  <c r="N131" i="1"/>
  <c r="N165" i="1"/>
  <c r="N166" i="1"/>
  <c r="N167" i="1"/>
  <c r="N168" i="1"/>
  <c r="N177" i="1"/>
  <c r="N178" i="1"/>
  <c r="N179" i="1"/>
  <c r="N180" i="1"/>
  <c r="N171" i="1"/>
  <c r="N172" i="1"/>
  <c r="N173" i="1"/>
  <c r="N174" i="1"/>
  <c r="N162" i="1"/>
  <c r="N141" i="1"/>
  <c r="N140" i="1"/>
  <c r="N142" i="1"/>
  <c r="N143" i="1"/>
  <c r="N134" i="1"/>
  <c r="N135" i="1"/>
  <c r="N136" i="1"/>
  <c r="N137" i="1"/>
  <c r="N125" i="1"/>
  <c r="C232" i="1"/>
  <c r="M156" i="1"/>
  <c r="L156" i="1"/>
  <c r="K156" i="1"/>
  <c r="J156" i="1"/>
  <c r="I156" i="1"/>
  <c r="H156" i="1"/>
  <c r="G156" i="1"/>
  <c r="F156" i="1"/>
  <c r="E156" i="1"/>
  <c r="D152" i="1"/>
  <c r="C152" i="1"/>
  <c r="BU233" i="1"/>
  <c r="BC233" i="1"/>
  <c r="AK233" i="1"/>
  <c r="R233" i="1"/>
  <c r="BU232" i="1"/>
  <c r="BC232" i="1"/>
  <c r="AK232" i="1"/>
  <c r="R232" i="1"/>
  <c r="BS232" i="1"/>
  <c r="BA232" i="1"/>
  <c r="AI232" i="1"/>
  <c r="P232" i="1"/>
  <c r="D72" i="1"/>
  <c r="C72" i="1"/>
  <c r="D42" i="1"/>
  <c r="C42" i="1"/>
  <c r="D325" i="1"/>
  <c r="C325" i="1"/>
  <c r="D290" i="1"/>
  <c r="C290" i="1"/>
  <c r="D189" i="1"/>
  <c r="C189" i="1"/>
  <c r="D116" i="1"/>
  <c r="D95" i="1"/>
  <c r="C95" i="1"/>
  <c r="C333" i="1"/>
  <c r="BA237" i="1"/>
  <c r="AU262" i="1"/>
  <c r="AU234" i="1"/>
  <c r="I306" i="1"/>
  <c r="H306" i="1"/>
  <c r="G306" i="1"/>
  <c r="D306" i="1"/>
  <c r="C306" i="1"/>
  <c r="C304" i="1"/>
  <c r="H300" i="1"/>
  <c r="H302" i="1"/>
  <c r="C300" i="1"/>
  <c r="H298" i="1"/>
  <c r="H296" i="1"/>
  <c r="C298" i="1"/>
  <c r="C302" i="1"/>
  <c r="CB237" i="1"/>
  <c r="BS237" i="1"/>
  <c r="BM262" i="1"/>
  <c r="BM234" i="1"/>
  <c r="BJ237" i="1"/>
  <c r="AR237" i="1"/>
  <c r="AI237" i="1"/>
  <c r="AC262" i="1"/>
  <c r="AC234" i="1"/>
  <c r="Y237" i="1"/>
  <c r="P237" i="1"/>
  <c r="F103" i="1"/>
  <c r="G103" i="1"/>
  <c r="H103" i="1"/>
  <c r="I103" i="1"/>
  <c r="J103" i="1"/>
  <c r="K103" i="1"/>
  <c r="L103" i="1"/>
  <c r="M103" i="1"/>
  <c r="F102" i="1"/>
  <c r="G102" i="1"/>
  <c r="H102" i="1"/>
  <c r="I102" i="1"/>
  <c r="J102" i="1"/>
  <c r="K102" i="1"/>
  <c r="L102" i="1"/>
  <c r="M102" i="1"/>
  <c r="E103" i="1"/>
  <c r="E81" i="1"/>
  <c r="E102" i="1"/>
  <c r="E80" i="1"/>
  <c r="M101" i="1"/>
  <c r="L101" i="1"/>
  <c r="K101" i="1"/>
  <c r="J101" i="1"/>
  <c r="I101" i="1"/>
  <c r="H101" i="1"/>
  <c r="G101" i="1"/>
  <c r="F101" i="1"/>
  <c r="E101" i="1"/>
  <c r="N52" i="1"/>
  <c r="M120" i="1"/>
  <c r="L120" i="1"/>
  <c r="K120" i="1"/>
  <c r="J120" i="1"/>
  <c r="I120" i="1"/>
  <c r="H120" i="1"/>
  <c r="G120" i="1"/>
  <c r="F120" i="1"/>
  <c r="E120" i="1"/>
  <c r="M79" i="1"/>
  <c r="L79" i="1"/>
  <c r="K79" i="1"/>
  <c r="J79" i="1"/>
  <c r="I79" i="1"/>
  <c r="H79" i="1"/>
  <c r="G79" i="1"/>
  <c r="F79" i="1"/>
  <c r="E79" i="1"/>
  <c r="E49" i="1"/>
  <c r="M49" i="1"/>
  <c r="L49" i="1"/>
  <c r="K49" i="1"/>
  <c r="J49" i="1"/>
  <c r="I49" i="1"/>
  <c r="H49" i="1"/>
  <c r="G49" i="1"/>
  <c r="F49" i="1"/>
  <c r="C230" i="1"/>
  <c r="C228" i="1"/>
  <c r="K262" i="1"/>
  <c r="K234" i="1"/>
  <c r="I237" i="1"/>
  <c r="C237" i="1"/>
  <c r="F122" i="1"/>
  <c r="G122" i="1"/>
  <c r="H122" i="1"/>
  <c r="I122" i="1"/>
  <c r="J122" i="1"/>
  <c r="K122" i="1"/>
  <c r="L122" i="1"/>
  <c r="M122" i="1"/>
  <c r="F121" i="1"/>
  <c r="G121" i="1"/>
  <c r="H121" i="1"/>
  <c r="I121" i="1"/>
  <c r="J121" i="1"/>
  <c r="K121" i="1"/>
  <c r="L121" i="1"/>
  <c r="M121" i="1"/>
  <c r="F81" i="1"/>
  <c r="G81" i="1"/>
  <c r="H81" i="1"/>
  <c r="I81" i="1"/>
  <c r="J81" i="1"/>
  <c r="K81" i="1"/>
  <c r="L81" i="1"/>
  <c r="M81" i="1"/>
  <c r="F80" i="1"/>
  <c r="G80" i="1"/>
  <c r="H80" i="1"/>
  <c r="I80" i="1"/>
  <c r="J80" i="1"/>
  <c r="K80" i="1"/>
  <c r="L80" i="1"/>
  <c r="M80" i="1"/>
  <c r="E160" i="1" l="1"/>
  <c r="E182" i="1" s="1"/>
  <c r="N65" i="1"/>
  <c r="M64" i="1"/>
  <c r="M66" i="1" s="1"/>
  <c r="K64" i="1"/>
  <c r="K104" i="1" s="1"/>
  <c r="K108" i="1" s="1"/>
  <c r="I64" i="1"/>
  <c r="I104" i="1" s="1"/>
  <c r="I108" i="1" s="1"/>
  <c r="G64" i="1"/>
  <c r="G104" i="1" s="1"/>
  <c r="E64" i="1"/>
  <c r="E159" i="1" s="1"/>
  <c r="O138" i="1"/>
  <c r="O132" i="1"/>
  <c r="O144" i="1"/>
  <c r="K63" i="1"/>
  <c r="M63" i="1"/>
  <c r="I63" i="1"/>
  <c r="G63" i="1"/>
  <c r="N169" i="1"/>
  <c r="O175" i="1"/>
  <c r="O181" i="1"/>
  <c r="N85" i="1"/>
  <c r="N107" i="1"/>
  <c r="N144" i="1"/>
  <c r="N57" i="1"/>
  <c r="N175" i="1"/>
  <c r="E63" i="1"/>
  <c r="N138" i="1"/>
  <c r="N62" i="1"/>
  <c r="N181" i="1"/>
  <c r="N132" i="1"/>
  <c r="O169" i="1"/>
  <c r="L64" i="1"/>
  <c r="L63" i="1"/>
  <c r="J64" i="1"/>
  <c r="J63" i="1"/>
  <c r="H64" i="1"/>
  <c r="H63" i="1"/>
  <c r="F64" i="1"/>
  <c r="F63" i="1"/>
  <c r="G108" i="1" l="1"/>
  <c r="N160" i="1"/>
  <c r="B184" i="1" s="1"/>
  <c r="I123" i="1"/>
  <c r="I145" i="1" s="1"/>
  <c r="E66" i="1"/>
  <c r="E123" i="1"/>
  <c r="E145" i="1" s="1"/>
  <c r="M82" i="1"/>
  <c r="M86" i="1" s="1"/>
  <c r="M159" i="1"/>
  <c r="E82" i="1"/>
  <c r="E86" i="1" s="1"/>
  <c r="I66" i="1"/>
  <c r="I159" i="1"/>
  <c r="M123" i="1"/>
  <c r="M145" i="1" s="1"/>
  <c r="I82" i="1"/>
  <c r="I86" i="1" s="1"/>
  <c r="E104" i="1"/>
  <c r="E108" i="1" s="1"/>
  <c r="M104" i="1"/>
  <c r="M108" i="1" s="1"/>
  <c r="G159" i="1"/>
  <c r="K159" i="1"/>
  <c r="G82" i="1"/>
  <c r="K82" i="1"/>
  <c r="K86" i="1" s="1"/>
  <c r="B68" i="1"/>
  <c r="G66" i="1"/>
  <c r="K66" i="1"/>
  <c r="G123" i="1"/>
  <c r="K123" i="1"/>
  <c r="K145" i="1" s="1"/>
  <c r="N63" i="1"/>
  <c r="F66" i="1"/>
  <c r="F82" i="1"/>
  <c r="F159" i="1"/>
  <c r="F123" i="1"/>
  <c r="F145" i="1" s="1"/>
  <c r="F104" i="1"/>
  <c r="F108" i="1" s="1"/>
  <c r="N64" i="1"/>
  <c r="H66" i="1"/>
  <c r="H82" i="1"/>
  <c r="H86" i="1" s="1"/>
  <c r="H159" i="1"/>
  <c r="H123" i="1"/>
  <c r="H145" i="1" s="1"/>
  <c r="H104" i="1"/>
  <c r="H108" i="1" s="1"/>
  <c r="J66" i="1"/>
  <c r="J82" i="1"/>
  <c r="J86" i="1" s="1"/>
  <c r="J159" i="1"/>
  <c r="J123" i="1"/>
  <c r="J145" i="1" s="1"/>
  <c r="J104" i="1"/>
  <c r="J108" i="1" s="1"/>
  <c r="L66" i="1"/>
  <c r="L82" i="1"/>
  <c r="L86" i="1" s="1"/>
  <c r="L159" i="1"/>
  <c r="L123" i="1"/>
  <c r="L104" i="1"/>
  <c r="L108" i="1" s="1"/>
  <c r="P182" i="1" l="1"/>
  <c r="O182" i="1" s="1"/>
  <c r="O183" i="1"/>
  <c r="O161" i="1" s="1"/>
  <c r="L145" i="1"/>
  <c r="O123" i="1"/>
  <c r="P105" i="1"/>
  <c r="P106" i="1"/>
  <c r="O106" i="1" s="1"/>
  <c r="G145" i="1"/>
  <c r="G86" i="1"/>
  <c r="P83" i="1"/>
  <c r="F86" i="1"/>
  <c r="P84" i="1"/>
  <c r="O84" i="1" s="1"/>
  <c r="N123" i="1"/>
  <c r="B147" i="1" s="1"/>
  <c r="N159" i="1"/>
  <c r="N82" i="1"/>
  <c r="N104" i="1"/>
  <c r="N108" i="1"/>
  <c r="N182" i="1"/>
  <c r="N66" i="1"/>
  <c r="N145" i="1" l="1"/>
  <c r="B146" i="1" s="1"/>
  <c r="P118" i="1" s="1"/>
  <c r="B183" i="1"/>
  <c r="P154" i="1" s="1"/>
  <c r="B67" i="1"/>
  <c r="P48" i="1" s="1"/>
  <c r="Q48" i="1" s="1"/>
  <c r="O105" i="1"/>
  <c r="P107" i="1"/>
  <c r="O108" i="1" s="1"/>
  <c r="P86" i="1"/>
  <c r="O124" i="1"/>
  <c r="P145" i="1"/>
  <c r="O145" i="1" s="1"/>
  <c r="N86" i="1"/>
  <c r="B88" i="1" s="1"/>
  <c r="O83" i="1"/>
  <c r="S18" i="1"/>
  <c r="S16" i="1"/>
  <c r="S14" i="1"/>
  <c r="Y52" i="1"/>
  <c r="B110" i="1"/>
  <c r="B109" i="1" s="1"/>
  <c r="S17" i="1" l="1"/>
  <c r="P97" i="1"/>
  <c r="D353" i="1"/>
  <c r="O86" i="1"/>
  <c r="S15" i="1"/>
  <c r="B87" i="1"/>
  <c r="Z60" i="1"/>
  <c r="AC60" i="1" s="1"/>
  <c r="O66" i="1"/>
  <c r="Q49" i="1"/>
  <c r="Q52" i="1"/>
  <c r="AH48" i="1"/>
  <c r="Z52" i="1"/>
  <c r="P52" i="1"/>
  <c r="Z49" i="1"/>
  <c r="Q56" i="1"/>
  <c r="Z58" i="1"/>
  <c r="Z55" i="1"/>
  <c r="P56" i="1"/>
  <c r="Y48" i="1"/>
  <c r="Z48" i="1"/>
  <c r="AI48" i="1"/>
  <c r="Q53" i="1"/>
  <c r="Y58" i="1"/>
  <c r="Q59" i="1"/>
  <c r="Z62" i="1"/>
  <c r="AI49" i="1"/>
  <c r="AQ52" i="1" s="1"/>
  <c r="Q57" i="1"/>
  <c r="Z118" i="1"/>
  <c r="R116" i="1"/>
  <c r="R117" i="1"/>
  <c r="P116" i="1"/>
  <c r="Z154" i="1"/>
  <c r="R153" i="1"/>
  <c r="R152" i="1"/>
  <c r="P152" i="1"/>
  <c r="AI42" i="1"/>
  <c r="BB42" i="1"/>
  <c r="BL42" i="1"/>
  <c r="BD43" i="1"/>
  <c r="R43" i="1"/>
  <c r="AK42" i="1"/>
  <c r="P42" i="1"/>
  <c r="AK43" i="1"/>
  <c r="R42" i="1"/>
  <c r="BD42" i="1"/>
  <c r="AE60" i="1" l="1"/>
  <c r="AH52" i="1"/>
  <c r="AQ48" i="1"/>
  <c r="AR49" i="1" s="1"/>
  <c r="BA48" i="1"/>
  <c r="AZ52" i="1"/>
  <c r="AI54" i="1"/>
  <c r="AI62" i="1"/>
  <c r="AZ48" i="1"/>
  <c r="BJ59" i="1"/>
  <c r="BI59" i="1"/>
  <c r="AI58" i="1"/>
  <c r="AI52" i="1"/>
  <c r="BA52" i="1"/>
  <c r="AR48" i="1"/>
  <c r="AH58" i="1"/>
  <c r="AI60" i="1"/>
  <c r="AR52" i="1"/>
  <c r="BI48" i="1"/>
  <c r="BJ48" i="1"/>
  <c r="BM94" i="1"/>
  <c r="AZ97" i="1"/>
  <c r="AQ97" i="1"/>
  <c r="AH98" i="1"/>
  <c r="Y97" i="1"/>
  <c r="BA97" i="1"/>
  <c r="AR97" i="1"/>
  <c r="AI97" i="1"/>
  <c r="Z97" i="1"/>
  <c r="Z99" i="1"/>
  <c r="P108" i="1"/>
  <c r="Q108" i="1"/>
  <c r="Q97" i="1"/>
  <c r="R96" i="1"/>
  <c r="R95" i="1"/>
  <c r="BC96" i="1"/>
  <c r="AK95" i="1"/>
  <c r="AI95" i="1"/>
  <c r="BC95" i="1"/>
  <c r="BA95" i="1"/>
  <c r="AK96" i="1"/>
  <c r="P95" i="1"/>
  <c r="P75" i="1" l="1"/>
  <c r="AI82" i="1" s="1"/>
  <c r="BA53" i="1"/>
  <c r="BA57" i="1" s="1"/>
  <c r="AR54" i="1"/>
  <c r="AR58" i="1" s="1"/>
  <c r="BA49" i="1"/>
  <c r="Z103" i="1"/>
  <c r="Z102" i="1"/>
  <c r="Z101" i="1"/>
  <c r="Z109" i="1"/>
  <c r="Z100" i="1"/>
  <c r="BA72" i="1" l="1"/>
  <c r="Z87" i="1"/>
  <c r="BJ75" i="1"/>
  <c r="CA72" i="1"/>
  <c r="BV72" i="1"/>
  <c r="AR85" i="1"/>
  <c r="AR87" i="1" s="1"/>
  <c r="AQ83" i="1"/>
  <c r="BA77" i="1"/>
  <c r="BA79" i="1" s="1"/>
  <c r="Q72" i="1"/>
  <c r="BU76" i="1"/>
  <c r="P79" i="1"/>
  <c r="AR83" i="1"/>
  <c r="BV76" i="1"/>
  <c r="AI85" i="1"/>
  <c r="AI87" i="1" s="1"/>
  <c r="BJ77" i="1"/>
  <c r="BJ78" i="1" s="1"/>
  <c r="AH76" i="1"/>
  <c r="BV86" i="1"/>
  <c r="Y83" i="1"/>
  <c r="BV77" i="1"/>
  <c r="BV78" i="1" s="1"/>
  <c r="AK73" i="1"/>
  <c r="AZ75" i="1"/>
  <c r="Q77" i="1"/>
  <c r="BC72" i="1"/>
  <c r="Z85" i="1"/>
  <c r="BT72" i="1"/>
  <c r="Z83" i="1"/>
  <c r="Q79" i="1"/>
  <c r="Q75" i="1"/>
  <c r="BI76" i="1"/>
  <c r="BA75" i="1"/>
  <c r="AQ75" i="1"/>
  <c r="Y87" i="1"/>
  <c r="AR75" i="1"/>
  <c r="AI75" i="1"/>
  <c r="Q80" i="1"/>
  <c r="Q83" i="1" s="1"/>
  <c r="AK72" i="1"/>
  <c r="BU86" i="1"/>
  <c r="BV73" i="1"/>
  <c r="AH83" i="1"/>
  <c r="S72" i="1"/>
  <c r="AI72" i="1"/>
  <c r="BC73" i="1"/>
  <c r="S73" i="1"/>
  <c r="BA59" i="1"/>
  <c r="BA55" i="1"/>
  <c r="Q85" i="1" l="1"/>
  <c r="Q87" i="1"/>
  <c r="Z75" i="1"/>
</calcChain>
</file>

<file path=xl/comments1.xml><?xml version="1.0" encoding="utf-8"?>
<comments xmlns="http://schemas.openxmlformats.org/spreadsheetml/2006/main">
  <authors>
    <author>wwg</author>
    <author>Lisa Collard</author>
  </authors>
  <commentList>
    <comment ref="D10" authorId="0" shapeId="0">
      <text>
        <r>
          <rPr>
            <b/>
            <sz val="8"/>
            <color indexed="81"/>
            <rFont val="Tahoma"/>
            <family val="2"/>
          </rPr>
          <t>The red triangle in the upper right corner signifies a comment.  It is revealed when the cursor is placed over the cell.</t>
        </r>
      </text>
    </comment>
    <comment ref="B51" authorId="1" shapeId="0">
      <text>
        <r>
          <rPr>
            <b/>
            <sz val="9"/>
            <color indexed="81"/>
            <rFont val="Tahoma"/>
            <family val="2"/>
          </rPr>
          <t xml:space="preserve">On-time graduation means enrolled students are expected to complete all course requirements in order to graduate in the designated time-to-certificate or degree for the program.  The resources must be allocated to build and deliver the program in this period of time.  </t>
        </r>
        <r>
          <rPr>
            <sz val="9"/>
            <color indexed="81"/>
            <rFont val="Tahoma"/>
            <family val="2"/>
          </rPr>
          <t xml:space="preserve">
</t>
        </r>
      </text>
    </comment>
    <comment ref="D56" authorId="1" shapeId="0">
      <text>
        <r>
          <rPr>
            <b/>
            <sz val="9"/>
            <color indexed="81"/>
            <rFont val="Tahoma"/>
            <family val="2"/>
          </rPr>
          <t>Category can include but is not limited to:</t>
        </r>
        <r>
          <rPr>
            <sz val="9"/>
            <color indexed="81"/>
            <rFont val="Tahoma"/>
            <family val="2"/>
          </rPr>
          <t xml:space="preserve">
-Violation of institution/program policies
-Conduct reasons</t>
        </r>
      </text>
    </comment>
    <comment ref="B82" authorId="1" shapeId="0">
      <text>
        <r>
          <rPr>
            <b/>
            <sz val="9"/>
            <color indexed="81"/>
            <rFont val="Tahoma"/>
            <family val="2"/>
          </rPr>
          <t xml:space="preserve">
According to the NREMT (www.nremt.org):
Number passing - 1st attempt = </t>
        </r>
        <r>
          <rPr>
            <sz val="9"/>
            <color indexed="81"/>
            <rFont val="Tahoma"/>
            <family val="2"/>
          </rPr>
          <t>First time a graduate takes and passes the exam in the calendar year being reported.</t>
        </r>
        <r>
          <rPr>
            <b/>
            <sz val="9"/>
            <color indexed="81"/>
            <rFont val="Tahoma"/>
            <family val="2"/>
          </rPr>
          <t xml:space="preserve"> 
Number passing - 3rd attempt cumulative pass rate = </t>
        </r>
        <r>
          <rPr>
            <sz val="9"/>
            <color indexed="81"/>
            <rFont val="Tahoma"/>
            <family val="2"/>
          </rPr>
          <t xml:space="preserve">First, second, and third time a graduate takes and passes the exam in the calendar year being reported.  This does not include any subsequent attempts and passes after the third time.
</t>
        </r>
      </text>
    </comment>
    <comment ref="B83" authorId="1" shapeId="0">
      <text>
        <r>
          <rPr>
            <b/>
            <sz val="9"/>
            <color indexed="81"/>
            <rFont val="Tahoma"/>
            <family val="2"/>
          </rPr>
          <t xml:space="preserve">
According to the NREMT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F</t>
        </r>
        <r>
          <rPr>
            <sz val="9"/>
            <color indexed="81"/>
            <rFont val="Tahoma"/>
            <family val="2"/>
          </rPr>
          <t xml:space="preserve">irst, second, and third time a graduate takes and passes the exam in the calendar year being reported.  This does not include any subsequent attempts and passes after the third time.
</t>
        </r>
      </text>
    </comment>
    <comment ref="C83" authorId="1" shapeId="0">
      <text>
        <r>
          <rPr>
            <b/>
            <sz val="9"/>
            <color indexed="81"/>
            <rFont val="Tahoma"/>
            <family val="2"/>
          </rPr>
          <t xml:space="preserve">
According to the NREMT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t>
        </r>
        <r>
          <rPr>
            <sz val="9"/>
            <color indexed="81"/>
            <rFont val="Tahoma"/>
            <family val="2"/>
          </rPr>
          <t xml:space="preserve"> First, second, and third time a graduate takes and passes the exam in the calendar year being reported.  This does not include any subsequent attempts and passes after the third time.
</t>
        </r>
      </text>
    </comment>
    <comment ref="B84" authorId="1" shapeId="0">
      <text>
        <r>
          <rPr>
            <b/>
            <sz val="9"/>
            <color indexed="81"/>
            <rFont val="Tahoma"/>
            <family val="2"/>
          </rPr>
          <t xml:space="preserve">
According to the NREMT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t>
        </r>
        <r>
          <rPr>
            <sz val="9"/>
            <color indexed="81"/>
            <rFont val="Tahoma"/>
            <family val="2"/>
          </rPr>
          <t xml:space="preserve">First, second, and third time a graduate takes and passes the exam in the calendar year being reported.  This does not include any subsequent attempts and passes after the third time.
</t>
        </r>
      </text>
    </comment>
    <comment ref="C84" authorId="1" shapeId="0">
      <text>
        <r>
          <rPr>
            <b/>
            <sz val="9"/>
            <color indexed="81"/>
            <rFont val="Tahoma"/>
            <family val="2"/>
          </rPr>
          <t xml:space="preserve">
According to the NREMT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t>
        </r>
        <r>
          <rPr>
            <sz val="9"/>
            <color indexed="81"/>
            <rFont val="Tahoma"/>
            <family val="2"/>
          </rPr>
          <t xml:space="preserve">First, second, and third time a graduate takes and passes the exam in the calendar year being reported.  This does not include any subsequent attempts and passes after the third time.
</t>
        </r>
      </text>
    </comment>
    <comment ref="D105" authorId="1" shapeId="0">
      <text>
        <r>
          <rPr>
            <b/>
            <sz val="9"/>
            <color indexed="81"/>
            <rFont val="Tahoma"/>
            <family val="2"/>
          </rPr>
          <t xml:space="preserve">
“Positive placement” </t>
        </r>
        <r>
          <rPr>
            <sz val="9"/>
            <color indexed="81"/>
            <rFont val="Tahoma"/>
            <family val="2"/>
          </rPr>
          <t>means that the graduate is employed full or part-time in the profession or in a related field; or continuing his/her education; or serving in the military. A related field is one in which the individual is using cognitive, psychomotor, and affective competencies acquired in the educational program.</t>
        </r>
        <r>
          <rPr>
            <b/>
            <sz val="9"/>
            <color indexed="81"/>
            <rFont val="Tahoma"/>
            <family val="2"/>
          </rPr>
          <t xml:space="preserve"> </t>
        </r>
        <r>
          <rPr>
            <sz val="9"/>
            <color indexed="81"/>
            <rFont val="Tahoma"/>
            <family val="2"/>
          </rPr>
          <t xml:space="preserve">
</t>
        </r>
      </text>
    </comment>
    <comment ref="H201" authorId="1" shapeId="0">
      <text>
        <r>
          <rPr>
            <sz val="9"/>
            <color indexed="81"/>
            <rFont val="Tahoma"/>
            <family val="2"/>
          </rPr>
          <t xml:space="preserve">This column will auto populate based on the state of the sponsor and the state of the satellite location and cannot be manually adjusted. 
</t>
        </r>
      </text>
    </comment>
  </commentList>
</comments>
</file>

<file path=xl/sharedStrings.xml><?xml version="1.0" encoding="utf-8"?>
<sst xmlns="http://schemas.openxmlformats.org/spreadsheetml/2006/main" count="165" uniqueCount="123">
  <si>
    <t>Does the program operate at any satellite locations?</t>
  </si>
  <si>
    <t>Satellite Locations</t>
  </si>
  <si>
    <t>Distance Education</t>
  </si>
  <si>
    <t>&lt;=== Hovering your cursor over a cell with a red triangle in upper right corner reveals text.  Try it.</t>
  </si>
  <si>
    <t>Committee on Accreditation of Educational Programs for the EMS Professions (CoAEMSP), in cooperation with the Commission on Accreditation of Allied Health Education Programs (CAAHEP)</t>
  </si>
  <si>
    <t xml:space="preserve">Should you have questions as you work through the Annual Report, please contact Lynn at (214) 703-8445 ext 115 or   </t>
  </si>
  <si>
    <t>CoAEMSP 
Program #:</t>
  </si>
  <si>
    <t xml:space="preserve">City:   </t>
  </si>
  <si>
    <t>State:</t>
  </si>
  <si>
    <t xml:space="preserve">  (the 600XXX number assigned by CoAEMSP)</t>
  </si>
  <si>
    <r>
      <rPr>
        <b/>
        <sz val="12"/>
        <rFont val="Arial"/>
        <family val="2"/>
      </rPr>
      <t xml:space="preserve">*Satellite: </t>
    </r>
    <r>
      <rPr>
        <sz val="12"/>
        <rFont val="Arial"/>
        <family val="2"/>
      </rPr>
      <t>Paramedic programs that establish multiple classes in a manner that does not meet the definition of a “section” and for which the program retains operational control, shall be said to have created a “satellite” program. (See CoAEMSP Policy) They may be off-campus location(s) that are advertised or otherwise made known to individuals outside the college at which the Emergency Medical Service core didactic and laboratory courses of the program are available (does not pertain to sites used by a completely on-line/distance education program for individual students).  Satellite location(s) function under the direction of the Key Personnel of the program.</t>
    </r>
  </si>
  <si>
    <t>Is any portion of the program offered through distance education (DE)?</t>
  </si>
  <si>
    <t>http://coaemsp.org/Policy_Procedures.htm</t>
  </si>
  <si>
    <t>Outcomes Summary</t>
  </si>
  <si>
    <t>On-time Graduation Date</t>
  </si>
  <si>
    <t xml:space="preserve">NOTE: Students enrolled at a satellite that is not CoAEMSP approved are at risk of not being eligible for the NREMT exam upon completion of the program.  </t>
  </si>
  <si>
    <t>Current Year Enrollment Date</t>
  </si>
  <si>
    <t>Total Graduates</t>
  </si>
  <si>
    <t>Current Year Totals</t>
  </si>
  <si>
    <t>Reporting Year Totals</t>
  </si>
  <si>
    <t>GRADUATE SURVEYS</t>
  </si>
  <si>
    <t>Enrollment Date</t>
  </si>
  <si>
    <t xml:space="preserve">The following results are for which written exam?  </t>
  </si>
  <si>
    <t>Total Number of Affective Responses</t>
  </si>
  <si>
    <t>RESOURCE ASSESSMENT</t>
  </si>
  <si>
    <t>Total Number of Cognitive Responses:</t>
  </si>
  <si>
    <t>Total Number of Psychomotor Responses:</t>
  </si>
  <si>
    <t>http://coaemsp.org/Evaluations.htm</t>
  </si>
  <si>
    <t xml:space="preserve"> </t>
  </si>
  <si>
    <t>Retention Threshold 70%</t>
  </si>
  <si>
    <t xml:space="preserve">RETENTION / ATTRITION </t>
  </si>
  <si>
    <t>Total # of Students enrolled in this cohort</t>
  </si>
  <si>
    <r>
      <rPr>
        <sz val="12"/>
        <rFont val="Calibri"/>
        <family val="2"/>
        <scheme val="minor"/>
      </rPr>
      <t>(For informational purposes only to check for accuracy)
Manually Calculate Attrition/Retention Results:</t>
    </r>
    <r>
      <rPr>
        <sz val="12"/>
        <rFont val="Arial"/>
        <family val="2"/>
      </rPr>
      <t xml:space="preserve">
                 </t>
    </r>
    <r>
      <rPr>
        <b/>
        <sz val="11"/>
        <color theme="1"/>
        <rFont val="Calibri"/>
        <family val="2"/>
        <scheme val="minor"/>
      </rPr>
      <t xml:space="preserve">Attrition =  </t>
    </r>
    <r>
      <rPr>
        <sz val="11"/>
        <color theme="1"/>
        <rFont val="Calibri"/>
        <family val="2"/>
        <scheme val="minor"/>
      </rPr>
      <t xml:space="preserve">  </t>
    </r>
    <r>
      <rPr>
        <u/>
        <sz val="11"/>
        <color theme="1"/>
        <rFont val="Calibri"/>
        <family val="2"/>
        <scheme val="minor"/>
      </rPr>
      <t xml:space="preserve"> Total # of Academic Reasons + Non-academic Reasons + Other/Unkown Reasons
</t>
    </r>
    <r>
      <rPr>
        <sz val="11"/>
        <color theme="1"/>
        <rFont val="Calibri"/>
        <family val="2"/>
        <scheme val="minor"/>
      </rPr>
      <t xml:space="preserve">                                                                                              Total # of Students enrolled
                   </t>
    </r>
    <r>
      <rPr>
        <b/>
        <sz val="11"/>
        <color theme="1"/>
        <rFont val="Calibri"/>
        <family val="2"/>
        <scheme val="minor"/>
      </rPr>
      <t>Retention =</t>
    </r>
    <r>
      <rPr>
        <sz val="11"/>
        <color theme="1"/>
        <rFont val="Calibri"/>
        <family val="2"/>
        <scheme val="minor"/>
      </rPr>
      <t xml:space="preserve">     100% - Attrition</t>
    </r>
  </si>
  <si>
    <t>Sponsoring 
   Institution:</t>
  </si>
  <si>
    <t xml:space="preserve">Accreditation Status:     </t>
  </si>
  <si>
    <t>Positive (Job) Placement</t>
  </si>
  <si>
    <t>Positive (Job) Placement Threshold 70%</t>
  </si>
  <si>
    <t xml:space="preserve">Accredited programs must conduct Resource Assessment at least annually (Standard IIID) and are required to complete a Resource Assessment Matrix (RAM) which includes ten (10) categories [Faculty, Medical Director, Support Personnel, Curriculum, Financial Resources, Facilities, Clinical Resources, Field Internship Resources, Learning Resources, and Physician Interaction].   If programs have identified deficiencies in resources, an action plan and follow up are required to address those deficiencies.  The Advisory Committee should be involved in both assessing the resources and reviewing the result.  All resource assessment documents (i.e. student and personnel surveys, matrix, and data collection spreadsheet) are located on the CoAEMSP website. </t>
  </si>
  <si>
    <r>
      <rPr>
        <sz val="12"/>
        <rFont val="Calibri"/>
        <family val="2"/>
        <scheme val="minor"/>
      </rPr>
      <t>(For informational purposes only to check for accuracy)
Manually Calculate Positive (Job) Placement Results:</t>
    </r>
    <r>
      <rPr>
        <sz val="12"/>
        <rFont val="Arial"/>
        <family val="2"/>
      </rPr>
      <t xml:space="preserve">
                  </t>
    </r>
    <r>
      <rPr>
        <b/>
        <sz val="11"/>
        <rFont val="Calibri"/>
        <family val="2"/>
        <scheme val="minor"/>
      </rPr>
      <t xml:space="preserve">Positive (Job) Placement =    </t>
    </r>
    <r>
      <rPr>
        <u/>
        <sz val="11"/>
        <rFont val="Calibri"/>
        <family val="2"/>
        <scheme val="minor"/>
      </rPr>
      <t xml:space="preserve"> # of graduates employed + # of graduates continuing ed/serving in the military but NOT employed</t>
    </r>
    <r>
      <rPr>
        <sz val="11"/>
        <rFont val="Calibri"/>
        <family val="2"/>
        <scheme val="minor"/>
      </rPr>
      <t xml:space="preserve">
                                                                                                                                                Total positive placement to date</t>
    </r>
  </si>
  <si>
    <t>*Number dismissed due to grades</t>
  </si>
  <si>
    <t>*Number withdrew due to grades</t>
  </si>
  <si>
    <t>*Number due to other academic</t>
  </si>
  <si>
    <t>*Number due to financial</t>
  </si>
  <si>
    <t>General Information</t>
  </si>
  <si>
    <r>
      <rPr>
        <sz val="12"/>
        <rFont val="Calibri"/>
        <family val="2"/>
        <scheme val="minor"/>
      </rPr>
      <t>(For informational purposes only to check for accuracy)
Manually Calculate Graduate Survey % Sent Results:</t>
    </r>
    <r>
      <rPr>
        <sz val="12"/>
        <rFont val="Arial"/>
        <family val="2"/>
      </rPr>
      <t xml:space="preserve">
                  </t>
    </r>
    <r>
      <rPr>
        <b/>
        <sz val="11"/>
        <rFont val="Calibri"/>
        <family val="2"/>
        <scheme val="minor"/>
      </rPr>
      <t xml:space="preserve">Graduate Survey -% Sent =    </t>
    </r>
    <r>
      <rPr>
        <sz val="11"/>
        <rFont val="Calibri"/>
        <family val="2"/>
        <scheme val="minor"/>
      </rPr>
      <t>Total Graduates = Total Number of Graduate Surveys Sent</t>
    </r>
  </si>
  <si>
    <t>EMPLOYER SURVEYS</t>
  </si>
  <si>
    <r>
      <rPr>
        <sz val="12"/>
        <rFont val="Calibri"/>
        <family val="2"/>
        <scheme val="minor"/>
      </rPr>
      <t>(For informational purposes only to check for accuracy)
Manually Calculate Employer Survey % Sent Results:</t>
    </r>
    <r>
      <rPr>
        <sz val="12"/>
        <rFont val="Arial"/>
        <family val="2"/>
      </rPr>
      <t xml:space="preserve">
                  </t>
    </r>
    <r>
      <rPr>
        <b/>
        <sz val="11"/>
        <rFont val="Calibri"/>
        <family val="2"/>
        <scheme val="minor"/>
      </rPr>
      <t xml:space="preserve">Employer Survey -% Sent =    </t>
    </r>
    <r>
      <rPr>
        <sz val="11"/>
        <rFont val="Calibri"/>
        <family val="2"/>
        <scheme val="minor"/>
      </rPr>
      <t>Total Graduates = Total Number of Employer Surveys Sent</t>
    </r>
  </si>
  <si>
    <t>*Number of Graduates employed</t>
  </si>
  <si>
    <t>*Number of Graduates continuing education or serving in the military, but NOT employed</t>
  </si>
  <si>
    <r>
      <t xml:space="preserve">Graduate Cognitive Responses:
   </t>
    </r>
    <r>
      <rPr>
        <b/>
        <sz val="9"/>
        <color rgb="FF0070C0"/>
        <rFont val="Calibri"/>
        <family val="2"/>
        <scheme val="minor"/>
      </rPr>
      <t>*(answer required for each cognitive response)</t>
    </r>
  </si>
  <si>
    <r>
      <t xml:space="preserve">Total Number of Graduate Surveys Returned
</t>
    </r>
    <r>
      <rPr>
        <b/>
        <sz val="9"/>
        <color rgb="FF0070C0"/>
        <rFont val="Calibri"/>
        <family val="2"/>
        <scheme val="minor"/>
      </rPr>
      <t xml:space="preserve">    (answer required for this category)</t>
    </r>
  </si>
  <si>
    <t>*Successful</t>
  </si>
  <si>
    <t>*Marginal</t>
  </si>
  <si>
    <t>*Unsuccessful</t>
  </si>
  <si>
    <t>*N/A</t>
  </si>
  <si>
    <r>
      <t xml:space="preserve">Graduate Psychomotor Responses:
   </t>
    </r>
    <r>
      <rPr>
        <b/>
        <sz val="9"/>
        <color rgb="FF0070C0"/>
        <rFont val="Calibri"/>
        <family val="2"/>
        <scheme val="minor"/>
      </rPr>
      <t>*(answer required for each psychomotor response)</t>
    </r>
  </si>
  <si>
    <r>
      <t xml:space="preserve">Graduate Affective Responses:
   </t>
    </r>
    <r>
      <rPr>
        <b/>
        <sz val="9"/>
        <color rgb="FF0070C0"/>
        <rFont val="Calibri"/>
        <family val="2"/>
        <scheme val="minor"/>
      </rPr>
      <t>*(answer required for each affective response)</t>
    </r>
  </si>
  <si>
    <r>
      <t xml:space="preserve">Total Number of Employer Surveys Returned
   </t>
    </r>
    <r>
      <rPr>
        <b/>
        <sz val="9"/>
        <color rgb="FF0070C0"/>
        <rFont val="Calibri"/>
        <family val="2"/>
        <scheme val="minor"/>
      </rPr>
      <t>(answer required for this category)</t>
    </r>
  </si>
  <si>
    <r>
      <t xml:space="preserve">Employer Cognitive Responses:
 </t>
    </r>
    <r>
      <rPr>
        <b/>
        <sz val="9"/>
        <color rgb="FF0070C0"/>
        <rFont val="Calibri"/>
        <family val="2"/>
        <scheme val="minor"/>
      </rPr>
      <t>*(answer required for each cognitive response)</t>
    </r>
  </si>
  <si>
    <r>
      <t xml:space="preserve">Employer Psychomotor Responses:
 </t>
    </r>
    <r>
      <rPr>
        <b/>
        <sz val="9"/>
        <color rgb="FF0070C0"/>
        <rFont val="Calibri"/>
        <family val="2"/>
        <scheme val="minor"/>
      </rPr>
      <t>*(answer required for each psychomotor response)</t>
    </r>
  </si>
  <si>
    <r>
      <t xml:space="preserve">Employer Affective Responses:
</t>
    </r>
    <r>
      <rPr>
        <b/>
        <sz val="9"/>
        <color rgb="FF0070C0"/>
        <rFont val="Calibri"/>
        <family val="2"/>
        <scheme val="minor"/>
      </rPr>
      <t xml:space="preserve"> *(answer required for each affective response)</t>
    </r>
  </si>
  <si>
    <t>The Positive (Job) Placement threshold set by the CoAEMSP is 70%.  Positive (Job) Placement means that the graduate is employed full or part-time or volunteers in the profession or in a related field; or is contiuing his/her education; or is serving in the military.  A related field is one in which the individual is using cognitive, psychomotor, and affective competencies acquired in the educational program.</t>
  </si>
  <si>
    <t xml:space="preserve">For each group of graduating students, programs are required to conduct surveys of those graduates and the employers of those graduates within 6-12 months after graduation using the CoAEMSP required graduate survey items.  </t>
  </si>
  <si>
    <t xml:space="preserve">For each group of graduating students, programs are required to conduct surveys of those graduates and the employers of those graduates within 6-12 months after graduation using the CoAEMSP required employer survey items.  </t>
  </si>
  <si>
    <r>
      <rPr>
        <b/>
        <sz val="12"/>
        <color theme="1"/>
        <rFont val="Calibri"/>
        <family val="2"/>
        <scheme val="minor"/>
      </rPr>
      <t>Non-academic Reasons for Attrition:</t>
    </r>
    <r>
      <rPr>
        <b/>
        <sz val="11"/>
        <color theme="1"/>
        <rFont val="Calibri"/>
        <family val="2"/>
        <scheme val="minor"/>
      </rPr>
      <t xml:space="preserve">
    </t>
    </r>
    <r>
      <rPr>
        <b/>
        <sz val="12"/>
        <color theme="1"/>
        <rFont val="Calibri"/>
        <family val="2"/>
        <scheme val="minor"/>
      </rPr>
      <t xml:space="preserve"> </t>
    </r>
    <r>
      <rPr>
        <b/>
        <sz val="12"/>
        <color theme="5" tint="-0.249977111117893"/>
        <rFont val="Calibri"/>
        <family val="2"/>
        <scheme val="minor"/>
      </rPr>
      <t>*(answer required for each non-academic category or results will not calculate)</t>
    </r>
  </si>
  <si>
    <r>
      <t xml:space="preserve">Total Graduates in Reporting Year
</t>
    </r>
    <r>
      <rPr>
        <b/>
        <sz val="12"/>
        <color theme="5" tint="-0.249977111117893"/>
        <rFont val="Calibri"/>
        <family val="2"/>
        <scheme val="minor"/>
      </rPr>
      <t xml:space="preserve"> *(answer required for each placement
    category)</t>
    </r>
  </si>
  <si>
    <r>
      <t xml:space="preserve">Total Number of Graduate Surveys Sent
   </t>
    </r>
    <r>
      <rPr>
        <b/>
        <sz val="12"/>
        <color theme="5" tint="-0.249977111117893"/>
        <rFont val="Calibri"/>
        <family val="2"/>
        <scheme val="minor"/>
      </rPr>
      <t xml:space="preserve"> (answer required for this category)</t>
    </r>
  </si>
  <si>
    <r>
      <rPr>
        <b/>
        <sz val="12"/>
        <color theme="1"/>
        <rFont val="Calibri"/>
        <family val="2"/>
        <scheme val="minor"/>
      </rPr>
      <t xml:space="preserve">Total Number of Employer Surveys </t>
    </r>
    <r>
      <rPr>
        <b/>
        <sz val="11"/>
        <color theme="1"/>
        <rFont val="Calibri"/>
        <family val="2"/>
        <scheme val="minor"/>
      </rPr>
      <t xml:space="preserve">Sent
</t>
    </r>
    <r>
      <rPr>
        <b/>
        <sz val="9"/>
        <color rgb="FF0070C0"/>
        <rFont val="Calibri"/>
        <family val="2"/>
        <scheme val="minor"/>
      </rPr>
      <t xml:space="preserve">  </t>
    </r>
    <r>
      <rPr>
        <b/>
        <sz val="12"/>
        <color theme="5" tint="-0.249977111117893"/>
        <rFont val="Calibri"/>
        <family val="2"/>
        <scheme val="minor"/>
      </rPr>
      <t xml:space="preserve"> (answer required for this category)</t>
    </r>
  </si>
  <si>
    <t>Subtotal # Academic Attrition Reasons</t>
  </si>
  <si>
    <t>Subtotal # Non-academic Attrition Reasons</t>
  </si>
  <si>
    <t>*Number due to medical/personal</t>
  </si>
  <si>
    <t>*Number due to other/unknown</t>
  </si>
  <si>
    <t>Total Attrition</t>
  </si>
  <si>
    <t xml:space="preserve">Attrition % </t>
  </si>
  <si>
    <t>Retention %</t>
  </si>
  <si>
    <r>
      <rPr>
        <b/>
        <sz val="12"/>
        <rFont val="Arial"/>
        <family val="2"/>
      </rPr>
      <t xml:space="preserve">*Distance Education – Method of Instruction: </t>
    </r>
    <r>
      <rPr>
        <sz val="12"/>
        <rFont val="Arial"/>
        <family val="2"/>
      </rPr>
      <t xml:space="preserve">a formal educational process in which the majority of synchronous and asynchronous instruction occurs when student and instructor are not in the same place. Distance education includes, but is not limited to, correspondence study, or audio, video, and/or computer/internet technologies.  
</t>
    </r>
    <r>
      <rPr>
        <b/>
        <sz val="12"/>
        <rFont val="Arial"/>
        <family val="2"/>
      </rPr>
      <t>*Distance Education Program:</t>
    </r>
    <r>
      <rPr>
        <sz val="12"/>
        <rFont val="Arial"/>
        <family val="2"/>
      </rPr>
      <t xml:space="preserve"> delivery of the complete program that allows the completion of the entire curriculum without the need to attend any instruction on a campus location. (Note: this delivery is not hybrid or partial e-learning delivery). To view the entire Distance Education Section see Policy XI on CoAEMSP website using the link provided below:</t>
    </r>
  </si>
  <si>
    <t xml:space="preserve">        </t>
  </si>
  <si>
    <t>Date of Submission:</t>
  </si>
  <si>
    <t xml:space="preserve">By selecting "Yes", I attest that the information in this submission is true and correct, and an accurate description of the paramedic program.  </t>
  </si>
  <si>
    <t>(m/d/yyyy)</t>
  </si>
  <si>
    <t>attrition</t>
  </si>
  <si>
    <t>written</t>
  </si>
  <si>
    <t>placement</t>
  </si>
  <si>
    <t>Grad</t>
  </si>
  <si>
    <t>Employ</t>
  </si>
  <si>
    <t>RAM</t>
  </si>
  <si>
    <t>cover</t>
  </si>
  <si>
    <t>Satellite</t>
  </si>
  <si>
    <t>Last</t>
  </si>
  <si>
    <t>RAM2</t>
  </si>
  <si>
    <t>Has anyone associated with the Paramedic program attended a CAAHEP/CoAEMSP Accreditation Workshop in the last two (2) years?</t>
  </si>
  <si>
    <t>mm/dd/yyyy =&gt;</t>
  </si>
  <si>
    <r>
      <rPr>
        <b/>
        <sz val="12"/>
        <color theme="1"/>
        <rFont val="Calibri"/>
        <family val="2"/>
        <scheme val="minor"/>
      </rPr>
      <t>Academic Reasons for Attrition:</t>
    </r>
    <r>
      <rPr>
        <b/>
        <sz val="11"/>
        <color theme="1"/>
        <rFont val="Calibri"/>
        <family val="2"/>
        <scheme val="minor"/>
      </rPr>
      <t xml:space="preserve">
    </t>
    </r>
    <r>
      <rPr>
        <b/>
        <sz val="12"/>
        <color theme="1"/>
        <rFont val="Calibri"/>
        <family val="2"/>
        <scheme val="minor"/>
      </rPr>
      <t xml:space="preserve"> </t>
    </r>
    <r>
      <rPr>
        <b/>
        <sz val="12"/>
        <color theme="5" tint="-0.249977111117893"/>
        <rFont val="Calibri"/>
        <family val="2"/>
        <scheme val="minor"/>
      </rPr>
      <t>*(answer required for each academic category or results will not calculate.)</t>
    </r>
  </si>
  <si>
    <t>Has the Program Director attended a CAAHEP/CoAEMSP Accreditation Workshop in the last two (2) years?</t>
  </si>
  <si>
    <t>Program Director Name:</t>
  </si>
  <si>
    <t>The sponsor must maintain, and make available to the public, current and consistent summary information about student/graduate achievement that includes the results of one or more of the outcomes assessments required.</t>
  </si>
  <si>
    <t>CAAHEP Policy V.A.4.:</t>
  </si>
  <si>
    <t>CoAEMSP Policy IV.D.:</t>
  </si>
  <si>
    <t>Direct Website URL (Link) to the Paramedic Program's Homepage Listing Published Outcomes:</t>
  </si>
  <si>
    <t xml:space="preserve">Are students allowed to take both State &amp; Registry?  </t>
  </si>
  <si>
    <t xml:space="preserve">Only one (1) exam outcome results can be reported.  Do not combine </t>
  </si>
  <si>
    <t xml:space="preserve">            Annual Report</t>
  </si>
  <si>
    <t>Registry and State numbers if students are allowed to take both.</t>
  </si>
  <si>
    <t>*Number passing - 3rd attempt cumulative 
                                        pass rate</t>
  </si>
  <si>
    <t>annualreports@coaemsp.org</t>
  </si>
  <si>
    <t>*Number passing - First attempt</t>
  </si>
  <si>
    <r>
      <t xml:space="preserve">Total Graduates in Reporting Year
</t>
    </r>
    <r>
      <rPr>
        <b/>
        <sz val="12"/>
        <color rgb="FF0070C0"/>
        <rFont val="Calibri"/>
        <family val="2"/>
        <scheme val="minor"/>
      </rPr>
      <t xml:space="preserve"> </t>
    </r>
    <r>
      <rPr>
        <b/>
        <sz val="12"/>
        <color theme="5" tint="-0.249977111117893"/>
        <rFont val="Calibri"/>
        <family val="2"/>
        <scheme val="minor"/>
      </rPr>
      <t xml:space="preserve">*(answer required for each category below)
   </t>
    </r>
    <r>
      <rPr>
        <sz val="12"/>
        <rFont val="Calibri"/>
        <family val="2"/>
        <scheme val="minor"/>
      </rPr>
      <t xml:space="preserve"> see definitions by hovering over
    any of the red comment triangle(s)</t>
    </r>
  </si>
  <si>
    <r>
      <rPr>
        <sz val="12"/>
        <rFont val="Calibri"/>
        <family val="2"/>
        <scheme val="minor"/>
      </rPr>
      <t>(For informational purposes only to check for accuracy)
Manually Calculate NREMT/State Written and/or Practical Exam Results:</t>
    </r>
    <r>
      <rPr>
        <sz val="12"/>
        <rFont val="Arial"/>
        <family val="2"/>
      </rPr>
      <t xml:space="preserve">
                  </t>
    </r>
    <r>
      <rPr>
        <b/>
        <sz val="11"/>
        <rFont val="Calibri"/>
        <family val="2"/>
        <scheme val="minor"/>
      </rPr>
      <t xml:space="preserve">Pass Rate Success =    </t>
    </r>
    <r>
      <rPr>
        <u/>
        <sz val="11"/>
        <rFont val="Calibri"/>
        <family val="2"/>
        <scheme val="minor"/>
      </rPr>
      <t xml:space="preserve"> # of graduates passing first three(3) attempts</t>
    </r>
    <r>
      <rPr>
        <sz val="11"/>
        <rFont val="Calibri"/>
        <family val="2"/>
        <scheme val="minor"/>
      </rPr>
      <t xml:space="preserve">
                                                                                           # of total graduates</t>
    </r>
  </si>
  <si>
    <t>All programs (accredited and LoR) must publish their latest annual outcomes results for the National Registry or State Written Exam, Retention, and Postive Job Placement on the paramedic program's homepage of their website.  At all times, the published results must be consistent with and verifiable by the latest Annual Report of the program.</t>
  </si>
  <si>
    <t xml:space="preserve"> http://ecampus.matc.edu/emstraining</t>
  </si>
  <si>
    <t>Yes</t>
  </si>
  <si>
    <t>Milwaukee Area Technical College</t>
  </si>
  <si>
    <t>Milwaukee</t>
  </si>
  <si>
    <t>WI</t>
  </si>
  <si>
    <t>Letter of Review</t>
  </si>
  <si>
    <t>National Registry</t>
  </si>
  <si>
    <t>No</t>
  </si>
  <si>
    <t>January, July</t>
  </si>
  <si>
    <t>April, May</t>
  </si>
  <si>
    <t>Employer surveys for Cohort #1 are sent to employers that are either known to the program as a sponsoring agency of students or are self-reported in the student surveys.  All students from Cohort #2 are sponsored and employed by the Milwaukee Fire Department. The survey was sent to the Assistant Chief of EMS of Milwaukee Fire Department as the direct contact for the cohort. The survey is reproducible to provide feedback on each individual employee.</t>
  </si>
  <si>
    <t>MATC will continue to send the survey to the identified contact with known sponsoring and student-reported agencies/employers for completion and/or dissemination to other internal administrators to provide the feedback desired.</t>
  </si>
  <si>
    <t>Del Szewczuga Lead Instructor, Russ Spahn Program Director</t>
  </si>
  <si>
    <t>Russell R. Spahn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</si>
</sst>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color theme="1"/>
      <name val="Arial"/>
      <family val="2"/>
    </font>
    <font>
      <u/>
      <sz val="11"/>
      <color theme="10"/>
      <name val="Calibri"/>
      <family val="2"/>
      <scheme val="minor"/>
    </font>
    <font>
      <sz val="14"/>
      <color rgb="FF003080"/>
      <name val="Arial"/>
      <family val="2"/>
    </font>
    <font>
      <sz val="11"/>
      <color rgb="FF0070C0"/>
      <name val="Calibri"/>
      <family val="2"/>
      <scheme val="minor"/>
    </font>
    <font>
      <sz val="11"/>
      <color rgb="FF008000"/>
      <name val="Calibri"/>
      <family val="2"/>
      <scheme val="minor"/>
    </font>
    <font>
      <b/>
      <sz val="14"/>
      <color theme="7" tint="-0.499984740745262"/>
      <name val="Arial"/>
      <family val="2"/>
    </font>
    <font>
      <sz val="11"/>
      <color theme="6" tint="-0.499984740745262"/>
      <name val="Calibri"/>
      <family val="2"/>
      <scheme val="minor"/>
    </font>
    <font>
      <b/>
      <sz val="10"/>
      <color theme="1"/>
      <name val="Arial"/>
      <family val="2"/>
    </font>
    <font>
      <sz val="10"/>
      <name val="Arial"/>
      <family val="2"/>
    </font>
    <font>
      <sz val="10"/>
      <color indexed="53"/>
      <name val="Arial"/>
      <family val="2"/>
    </font>
    <font>
      <b/>
      <sz val="8"/>
      <color indexed="81"/>
      <name val="Tahoma"/>
      <family val="2"/>
    </font>
    <font>
      <b/>
      <sz val="10"/>
      <color rgb="FF008000"/>
      <name val="Arial"/>
      <family val="2"/>
    </font>
    <font>
      <b/>
      <sz val="11"/>
      <color rgb="FFC00000"/>
      <name val="Calibri"/>
      <family val="2"/>
      <scheme val="minor"/>
    </font>
    <font>
      <sz val="11"/>
      <color rgb="FF002060"/>
      <name val="Arial"/>
      <family val="2"/>
    </font>
    <font>
      <i/>
      <sz val="11"/>
      <color theme="6" tint="-0.499984740745262"/>
      <name val="Calibri"/>
      <family val="2"/>
      <scheme val="minor"/>
    </font>
    <font>
      <sz val="11"/>
      <name val="Arial"/>
      <family val="2"/>
    </font>
    <font>
      <sz val="11"/>
      <color rgb="FFFF0000"/>
      <name val="Calibri"/>
      <family val="2"/>
      <scheme val="minor"/>
    </font>
    <font>
      <b/>
      <sz val="36"/>
      <color theme="8"/>
      <name val="Calibri"/>
      <family val="2"/>
      <scheme val="minor"/>
    </font>
    <font>
      <b/>
      <sz val="14"/>
      <color rgb="FFC00000"/>
      <name val="Arial"/>
      <family val="2"/>
    </font>
    <font>
      <sz val="12"/>
      <name val="Arial"/>
      <family val="2"/>
    </font>
    <font>
      <b/>
      <sz val="12"/>
      <name val="Arial"/>
      <family val="2"/>
    </font>
    <font>
      <b/>
      <sz val="12"/>
      <color theme="1"/>
      <name val="Calibri"/>
      <family val="2"/>
      <scheme val="minor"/>
    </font>
    <font>
      <b/>
      <sz val="14"/>
      <name val="Calibri"/>
      <family val="2"/>
      <scheme val="minor"/>
    </font>
    <font>
      <b/>
      <sz val="14"/>
      <color theme="0"/>
      <name val="Calibri"/>
      <family val="2"/>
      <scheme val="minor"/>
    </font>
    <font>
      <u/>
      <sz val="14"/>
      <color theme="10"/>
      <name val="Calibri"/>
      <family val="2"/>
      <scheme val="minor"/>
    </font>
    <font>
      <u/>
      <sz val="11"/>
      <color theme="1"/>
      <name val="Calibri"/>
      <family val="2"/>
      <scheme val="minor"/>
    </font>
    <font>
      <b/>
      <sz val="18"/>
      <color theme="8"/>
      <name val="Arial"/>
      <family val="2"/>
    </font>
    <font>
      <b/>
      <sz val="14"/>
      <color theme="1"/>
      <name val="Calibri"/>
      <family val="2"/>
      <scheme val="minor"/>
    </font>
    <font>
      <b/>
      <sz val="18"/>
      <color theme="1"/>
      <name val="Calibri"/>
      <family val="2"/>
      <scheme val="minor"/>
    </font>
    <font>
      <b/>
      <sz val="11"/>
      <name val="Calibri"/>
      <family val="2"/>
      <scheme val="minor"/>
    </font>
    <font>
      <sz val="12"/>
      <name val="Calibri"/>
      <family val="2"/>
      <scheme val="minor"/>
    </font>
    <font>
      <u/>
      <sz val="11"/>
      <name val="Calibri"/>
      <family val="2"/>
      <scheme val="minor"/>
    </font>
    <font>
      <b/>
      <sz val="18"/>
      <color theme="7" tint="-0.499984740745262"/>
      <name val="Calibri"/>
      <family val="2"/>
      <scheme val="minor"/>
    </font>
    <font>
      <b/>
      <sz val="16"/>
      <color rgb="FFC00000"/>
      <name val="Calibri"/>
      <family val="2"/>
      <scheme val="minor"/>
    </font>
    <font>
      <b/>
      <sz val="22"/>
      <name val="Calibri"/>
      <family val="2"/>
      <scheme val="minor"/>
    </font>
    <font>
      <b/>
      <sz val="11"/>
      <color theme="9"/>
      <name val="Calibri"/>
      <family val="2"/>
      <scheme val="minor"/>
    </font>
    <font>
      <sz val="11"/>
      <color theme="8" tint="-0.249977111117893"/>
      <name val="Calibri"/>
      <family val="2"/>
      <scheme val="minor"/>
    </font>
    <font>
      <b/>
      <sz val="11"/>
      <color theme="9" tint="-0.249977111117893"/>
      <name val="Calibri"/>
      <family val="2"/>
      <scheme val="minor"/>
    </font>
    <font>
      <b/>
      <sz val="14"/>
      <color rgb="FF0070C0"/>
      <name val="Calibri"/>
      <family val="2"/>
      <scheme val="minor"/>
    </font>
    <font>
      <b/>
      <sz val="12"/>
      <color rgb="FF0070C0"/>
      <name val="Calibri"/>
      <family val="2"/>
      <scheme val="minor"/>
    </font>
    <font>
      <sz val="11"/>
      <color theme="0" tint="-0.34998626667073579"/>
      <name val="Calibri"/>
      <family val="2"/>
      <scheme val="minor"/>
    </font>
    <font>
      <sz val="10"/>
      <color rgb="FF0070C0"/>
      <name val="Calibri"/>
      <family val="2"/>
      <scheme val="minor"/>
    </font>
    <font>
      <i/>
      <sz val="11"/>
      <color theme="1"/>
      <name val="Calibri"/>
      <family val="2"/>
      <scheme val="minor"/>
    </font>
    <font>
      <sz val="11"/>
      <color theme="10"/>
      <name val="Calibri"/>
      <family val="2"/>
      <scheme val="minor"/>
    </font>
    <font>
      <b/>
      <sz val="11"/>
      <color rgb="FF0070C0"/>
      <name val="Calibri"/>
      <family val="2"/>
      <scheme val="minor"/>
    </font>
    <font>
      <b/>
      <sz val="9"/>
      <color rgb="FF0070C0"/>
      <name val="Calibri"/>
      <family val="2"/>
      <scheme val="minor"/>
    </font>
    <font>
      <b/>
      <sz val="22"/>
      <color theme="1"/>
      <name val="Calibri"/>
      <family val="2"/>
      <scheme val="minor"/>
    </font>
    <font>
      <b/>
      <sz val="22"/>
      <color rgb="FFC00000"/>
      <name val="Calibri"/>
      <family val="2"/>
      <scheme val="minor"/>
    </font>
    <font>
      <b/>
      <sz val="12"/>
      <color theme="5" tint="-0.249977111117893"/>
      <name val="Calibri"/>
      <family val="2"/>
      <scheme val="minor"/>
    </font>
    <font>
      <b/>
      <sz val="11"/>
      <color theme="5" tint="-0.249977111117893"/>
      <name val="Calibri"/>
      <family val="2"/>
      <scheme val="minor"/>
    </font>
    <font>
      <sz val="11"/>
      <color theme="5" tint="-0.249977111117893"/>
      <name val="Calibri"/>
      <family val="2"/>
      <scheme val="minor"/>
    </font>
    <font>
      <b/>
      <sz val="20"/>
      <color theme="1"/>
      <name val="Calibri"/>
      <family val="2"/>
      <scheme val="minor"/>
    </font>
    <font>
      <sz val="11"/>
      <color rgb="FFC00000"/>
      <name val="Calibri"/>
      <family val="2"/>
      <scheme val="minor"/>
    </font>
    <font>
      <sz val="9"/>
      <color indexed="81"/>
      <name val="Tahoma"/>
      <family val="2"/>
    </font>
    <font>
      <b/>
      <sz val="9"/>
      <color indexed="81"/>
      <name val="Tahoma"/>
      <family val="2"/>
    </font>
    <font>
      <b/>
      <sz val="11"/>
      <color theme="8" tint="-0.249977111117893"/>
      <name val="Calibri"/>
      <family val="2"/>
      <scheme val="minor"/>
    </font>
    <font>
      <sz val="14"/>
      <color rgb="FFC00000"/>
      <name val="Calibri"/>
      <family val="2"/>
      <scheme val="minor"/>
    </font>
    <font>
      <sz val="11"/>
      <color theme="0" tint="-0.499984740745262"/>
      <name val="Calibri"/>
      <family val="2"/>
      <scheme val="minor"/>
    </font>
    <font>
      <sz val="10"/>
      <color theme="0"/>
      <name val="Arial"/>
      <family val="2"/>
    </font>
    <font>
      <b/>
      <sz val="11"/>
      <color rgb="FFFF0000"/>
      <name val="Calibri"/>
      <family val="2"/>
      <scheme val="minor"/>
    </font>
    <font>
      <b/>
      <sz val="14"/>
      <color rgb="FFFF0000"/>
      <name val="Calibri"/>
      <family val="2"/>
      <scheme val="minor"/>
    </font>
    <font>
      <u/>
      <sz val="11"/>
      <color rgb="FF0070C0"/>
      <name val="Calibri"/>
      <family val="2"/>
      <scheme val="minor"/>
    </font>
    <font>
      <b/>
      <sz val="11"/>
      <color theme="0"/>
      <name val="Calibri"/>
      <family val="2"/>
      <scheme val="minor"/>
    </font>
    <font>
      <b/>
      <sz val="11"/>
      <color rgb="FF002060"/>
      <name val="Arial"/>
      <family val="2"/>
    </font>
    <font>
      <b/>
      <sz val="12"/>
      <name val="Calibri"/>
      <family val="2"/>
      <scheme val="minor"/>
    </font>
  </fonts>
  <fills count="2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EFF6FB"/>
        <bgColor indexed="64"/>
      </patternFill>
    </fill>
    <fill>
      <patternFill patternType="solid">
        <fgColor indexed="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E4D2F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83E7F1"/>
        <bgColor indexed="64"/>
      </patternFill>
    </fill>
    <fill>
      <patternFill patternType="solid">
        <fgColor rgb="FFCFF5F9"/>
        <bgColor indexed="64"/>
      </patternFill>
    </fill>
    <fill>
      <patternFill patternType="solid">
        <fgColor rgb="FFDED8F8"/>
        <bgColor indexed="64"/>
      </patternFill>
    </fill>
    <fill>
      <patternFill patternType="solid">
        <fgColor rgb="FFB8ABEF"/>
        <bgColor indexed="64"/>
      </patternFill>
    </fill>
    <fill>
      <patternFill patternType="solid">
        <fgColor rgb="FFD6F7FA"/>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E1A7BD"/>
        <bgColor indexed="64"/>
      </patternFill>
    </fill>
    <fill>
      <patternFill patternType="solid">
        <fgColor rgb="FFF4E0E7"/>
        <bgColor indexed="64"/>
      </patternFill>
    </fill>
    <fill>
      <patternFill patternType="solid">
        <fgColor rgb="FFFFF0C5"/>
        <bgColor indexed="64"/>
      </patternFill>
    </fill>
    <fill>
      <patternFill patternType="solid">
        <fgColor rgb="FFD2F3F8"/>
        <bgColor indexed="64"/>
      </patternFill>
    </fill>
    <fill>
      <patternFill patternType="solid">
        <fgColor rgb="FFE6E6FA"/>
        <bgColor indexed="64"/>
      </patternFill>
    </fill>
    <fill>
      <patternFill patternType="solid">
        <fgColor rgb="FFABD8F7"/>
        <bgColor indexed="64"/>
      </patternFill>
    </fill>
    <fill>
      <patternFill patternType="solid">
        <fgColor rgb="FFDCEFFC"/>
        <bgColor indexed="64"/>
      </patternFill>
    </fill>
    <fill>
      <patternFill patternType="solid">
        <fgColor theme="9"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s>
  <cellStyleXfs count="3">
    <xf numFmtId="0" fontId="0" fillId="0" borderId="0"/>
    <xf numFmtId="0" fontId="6" fillId="0" borderId="0" applyNumberFormat="0" applyFill="0" applyBorder="0" applyAlignment="0" applyProtection="0"/>
    <xf numFmtId="9" fontId="1" fillId="0" borderId="0" applyFont="0" applyFill="0" applyBorder="0" applyAlignment="0" applyProtection="0"/>
  </cellStyleXfs>
  <cellXfs count="460">
    <xf numFmtId="0" fontId="0" fillId="0" borderId="0" xfId="0"/>
    <xf numFmtId="0" fontId="7" fillId="0" borderId="0" xfId="0" applyFont="1" applyAlignment="1">
      <alignment horizontal="center"/>
    </xf>
    <xf numFmtId="0" fontId="0" fillId="0" borderId="0" xfId="0" quotePrefix="1"/>
    <xf numFmtId="0" fontId="3" fillId="0" borderId="0" xfId="0" applyFont="1"/>
    <xf numFmtId="0" fontId="5" fillId="0" borderId="0" xfId="0" applyFont="1"/>
    <xf numFmtId="0" fontId="0" fillId="0" borderId="0" xfId="0" applyAlignment="1">
      <alignment horizontal="right"/>
    </xf>
    <xf numFmtId="0" fontId="0" fillId="0" borderId="0" xfId="0" applyAlignment="1">
      <alignment vertical="top"/>
    </xf>
    <xf numFmtId="0" fontId="14" fillId="0" borderId="0" xfId="0" applyFont="1" applyAlignment="1">
      <alignment horizontal="left" vertical="center" wrapText="1" indent="1"/>
    </xf>
    <xf numFmtId="0" fontId="13" fillId="5" borderId="1" xfId="0" applyFont="1" applyFill="1" applyBorder="1" applyAlignment="1">
      <alignment horizontal="left" vertical="center" wrapText="1" indent="1"/>
    </xf>
    <xf numFmtId="0" fontId="8" fillId="0" borderId="0" xfId="0" applyFont="1" applyAlignment="1" applyProtection="1">
      <alignment horizontal="center" vertical="center"/>
      <protection locked="0"/>
    </xf>
    <xf numFmtId="0" fontId="2" fillId="0" borderId="0" xfId="0" applyFont="1" applyAlignment="1">
      <alignment horizontal="center"/>
    </xf>
    <xf numFmtId="0" fontId="5" fillId="0" borderId="0" xfId="0" applyFont="1" applyAlignment="1">
      <alignment vertical="center"/>
    </xf>
    <xf numFmtId="0" fontId="0" fillId="0" borderId="0" xfId="0" quotePrefix="1" applyAlignment="1">
      <alignment vertical="center"/>
    </xf>
    <xf numFmtId="0" fontId="0" fillId="0" borderId="0" xfId="0" applyAlignment="1">
      <alignment horizontal="center" vertical="center"/>
    </xf>
    <xf numFmtId="0" fontId="21" fillId="0" borderId="0" xfId="0" applyFont="1"/>
    <xf numFmtId="0" fontId="0" fillId="0" borderId="0" xfId="0" applyAlignment="1">
      <alignment vertical="center"/>
    </xf>
    <xf numFmtId="0" fontId="9" fillId="0" borderId="0" xfId="0" applyFont="1"/>
    <xf numFmtId="0" fontId="12" fillId="0" borderId="0" xfId="0" applyFont="1" applyAlignment="1">
      <alignment horizontal="center" vertical="center" wrapText="1"/>
    </xf>
    <xf numFmtId="0" fontId="12"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center"/>
    </xf>
    <xf numFmtId="0" fontId="19" fillId="0" borderId="0" xfId="0" applyFont="1"/>
    <xf numFmtId="0" fontId="0" fillId="7" borderId="0" xfId="0" applyFill="1" applyAlignment="1">
      <alignment vertical="center"/>
    </xf>
    <xf numFmtId="0" fontId="2" fillId="12" borderId="1" xfId="0" applyFont="1" applyFill="1" applyBorder="1" applyAlignment="1">
      <alignment horizontal="center" vertical="center" wrapText="1"/>
    </xf>
    <xf numFmtId="0" fontId="2" fillId="12" borderId="1" xfId="0" applyFont="1" applyFill="1" applyBorder="1" applyAlignment="1">
      <alignment horizontal="center" wrapText="1"/>
    </xf>
    <xf numFmtId="0" fontId="2" fillId="8" borderId="14" xfId="0" applyFont="1" applyFill="1" applyBorder="1" applyAlignment="1">
      <alignment vertical="center"/>
    </xf>
    <xf numFmtId="14" fontId="0" fillId="0" borderId="13" xfId="0" applyNumberFormat="1" applyBorder="1" applyAlignment="1">
      <alignment horizontal="center" vertical="center"/>
    </xf>
    <xf numFmtId="0" fontId="31" fillId="7" borderId="0" xfId="0" applyFont="1" applyFill="1" applyAlignment="1">
      <alignment vertical="center"/>
    </xf>
    <xf numFmtId="14" fontId="0" fillId="0" borderId="2" xfId="0" applyNumberFormat="1" applyBorder="1" applyAlignment="1">
      <alignment horizontal="center" vertical="center"/>
    </xf>
    <xf numFmtId="0" fontId="2" fillId="13" borderId="1" xfId="0" applyFont="1" applyFill="1" applyBorder="1" applyAlignment="1">
      <alignment horizontal="center" vertical="center" wrapText="1"/>
    </xf>
    <xf numFmtId="0" fontId="10" fillId="13" borderId="11" xfId="0" applyFont="1" applyFill="1" applyBorder="1"/>
    <xf numFmtId="0" fontId="10" fillId="13" borderId="13" xfId="0" applyFont="1" applyFill="1" applyBorder="1"/>
    <xf numFmtId="0" fontId="32" fillId="0" borderId="4" xfId="0" applyFont="1" applyBorder="1" applyAlignment="1">
      <alignment horizontal="center" vertical="center"/>
    </xf>
    <xf numFmtId="0" fontId="10" fillId="10" borderId="11" xfId="0" applyFont="1" applyFill="1" applyBorder="1" applyAlignment="1">
      <alignment vertical="center"/>
    </xf>
    <xf numFmtId="0" fontId="10" fillId="10" borderId="13" xfId="0" applyFont="1" applyFill="1" applyBorder="1" applyAlignment="1">
      <alignment vertical="center"/>
    </xf>
    <xf numFmtId="0" fontId="10" fillId="16" borderId="10" xfId="0" applyFont="1" applyFill="1" applyBorder="1" applyAlignment="1">
      <alignment vertical="center"/>
    </xf>
    <xf numFmtId="0" fontId="10" fillId="16" borderId="11" xfId="0" applyFont="1" applyFill="1" applyBorder="1"/>
    <xf numFmtId="0" fontId="10" fillId="16" borderId="13" xfId="0" applyFont="1" applyFill="1" applyBorder="1"/>
    <xf numFmtId="0" fontId="2" fillId="16" borderId="1" xfId="0" applyFont="1" applyFill="1" applyBorder="1" applyAlignment="1">
      <alignment horizontal="center" vertical="center" wrapText="1"/>
    </xf>
    <xf numFmtId="0" fontId="37" fillId="10" borderId="10" xfId="0" applyFont="1" applyFill="1" applyBorder="1" applyAlignment="1">
      <alignment vertical="center"/>
    </xf>
    <xf numFmtId="0" fontId="37" fillId="13" borderId="10" xfId="0" applyFont="1" applyFill="1" applyBorder="1" applyAlignment="1">
      <alignment vertical="center"/>
    </xf>
    <xf numFmtId="0" fontId="2" fillId="8" borderId="3" xfId="0" applyFont="1" applyFill="1" applyBorder="1" applyAlignment="1">
      <alignment vertical="center"/>
    </xf>
    <xf numFmtId="0" fontId="32" fillId="0" borderId="0" xfId="0" applyFont="1"/>
    <xf numFmtId="0" fontId="17" fillId="0" borderId="0" xfId="0" applyFont="1"/>
    <xf numFmtId="0" fontId="22" fillId="7" borderId="0" xfId="0" applyFont="1" applyFill="1" applyAlignment="1">
      <alignment vertical="center"/>
    </xf>
    <xf numFmtId="0" fontId="10" fillId="19" borderId="10" xfId="0" applyFont="1" applyFill="1" applyBorder="1" applyAlignment="1">
      <alignment vertical="center"/>
    </xf>
    <xf numFmtId="0" fontId="10" fillId="19" borderId="11" xfId="0" applyFont="1" applyFill="1" applyBorder="1"/>
    <xf numFmtId="0" fontId="10" fillId="19" borderId="13" xfId="0" applyFont="1" applyFill="1" applyBorder="1"/>
    <xf numFmtId="0" fontId="10" fillId="20" borderId="0" xfId="0" applyFont="1" applyFill="1"/>
    <xf numFmtId="0" fontId="0" fillId="20" borderId="0" xfId="0" applyFill="1"/>
    <xf numFmtId="0" fontId="11" fillId="20" borderId="0" xfId="0" applyFont="1" applyFill="1"/>
    <xf numFmtId="0" fontId="32" fillId="6" borderId="0" xfId="0" applyFont="1" applyFill="1" applyAlignment="1">
      <alignment vertical="center"/>
    </xf>
    <xf numFmtId="0" fontId="32" fillId="8" borderId="0" xfId="0" applyFont="1" applyFill="1" applyAlignment="1">
      <alignment vertical="center"/>
    </xf>
    <xf numFmtId="0" fontId="26" fillId="0" borderId="0" xfId="0" applyFont="1"/>
    <xf numFmtId="0" fontId="17" fillId="0" borderId="0" xfId="0" applyFont="1" applyAlignment="1">
      <alignment wrapText="1"/>
    </xf>
    <xf numFmtId="0" fontId="21" fillId="8" borderId="0" xfId="0" applyFont="1" applyFill="1"/>
    <xf numFmtId="0" fontId="2" fillId="8" borderId="0" xfId="0" applyFont="1" applyFill="1" applyAlignment="1">
      <alignment vertical="center"/>
    </xf>
    <xf numFmtId="0" fontId="2" fillId="8" borderId="12" xfId="0" applyFont="1" applyFill="1" applyBorder="1" applyAlignment="1">
      <alignment vertical="center"/>
    </xf>
    <xf numFmtId="0" fontId="2" fillId="22" borderId="12" xfId="0" applyFont="1" applyFill="1" applyBorder="1" applyAlignment="1">
      <alignment vertical="center"/>
    </xf>
    <xf numFmtId="0" fontId="2" fillId="22" borderId="0" xfId="0" applyFont="1" applyFill="1" applyAlignment="1">
      <alignment vertical="center"/>
    </xf>
    <xf numFmtId="0" fontId="2" fillId="22" borderId="15" xfId="0" applyFont="1" applyFill="1" applyBorder="1" applyAlignment="1">
      <alignment vertical="center"/>
    </xf>
    <xf numFmtId="0" fontId="2" fillId="22" borderId="3" xfId="0" applyFont="1" applyFill="1" applyBorder="1" applyAlignment="1">
      <alignment vertical="center"/>
    </xf>
    <xf numFmtId="0" fontId="26" fillId="22" borderId="12" xfId="0" applyFont="1" applyFill="1" applyBorder="1" applyAlignment="1">
      <alignment horizontal="center" vertical="center"/>
    </xf>
    <xf numFmtId="14" fontId="0" fillId="8" borderId="15" xfId="0" applyNumberFormat="1" applyFill="1" applyBorder="1" applyAlignment="1" applyProtection="1">
      <alignment horizontal="center" vertical="center"/>
      <protection locked="0"/>
    </xf>
    <xf numFmtId="14" fontId="0" fillId="8" borderId="12" xfId="0" applyNumberFormat="1" applyFill="1" applyBorder="1" applyAlignment="1">
      <alignment horizontal="center" vertical="center"/>
    </xf>
    <xf numFmtId="14" fontId="0" fillId="23" borderId="2" xfId="0" applyNumberFormat="1" applyFill="1" applyBorder="1" applyAlignment="1">
      <alignment horizontal="center" vertical="center"/>
    </xf>
    <xf numFmtId="14" fontId="0" fillId="23" borderId="13" xfId="0" applyNumberFormat="1" applyFill="1" applyBorder="1" applyAlignment="1">
      <alignment horizontal="center" vertical="center"/>
    </xf>
    <xf numFmtId="0" fontId="32" fillId="8" borderId="4" xfId="0" applyFont="1" applyFill="1" applyBorder="1" applyAlignment="1">
      <alignment horizontal="center" vertical="center"/>
    </xf>
    <xf numFmtId="0" fontId="41" fillId="22" borderId="12" xfId="0" applyFont="1" applyFill="1" applyBorder="1" applyAlignment="1">
      <alignment horizontal="center" vertical="center"/>
    </xf>
    <xf numFmtId="0" fontId="41" fillId="8" borderId="12" xfId="0" applyFont="1" applyFill="1" applyBorder="1" applyAlignment="1">
      <alignment horizontal="center" vertical="center"/>
    </xf>
    <xf numFmtId="0" fontId="41" fillId="8" borderId="15" xfId="0" applyFont="1" applyFill="1" applyBorder="1" applyAlignment="1">
      <alignment horizontal="center" vertical="center"/>
    </xf>
    <xf numFmtId="0" fontId="41" fillId="22" borderId="15" xfId="0" applyFont="1" applyFill="1" applyBorder="1" applyAlignment="1">
      <alignment horizontal="center" vertical="center"/>
    </xf>
    <xf numFmtId="0" fontId="34" fillId="8" borderId="4" xfId="0" applyFont="1" applyFill="1" applyBorder="1" applyAlignment="1">
      <alignment horizontal="center" vertical="center"/>
    </xf>
    <xf numFmtId="14" fontId="0" fillId="22" borderId="2" xfId="0" applyNumberFormat="1" applyFill="1" applyBorder="1" applyAlignment="1" applyProtection="1">
      <alignment horizontal="center" vertical="center"/>
      <protection locked="0"/>
    </xf>
    <xf numFmtId="14" fontId="0" fillId="22" borderId="12" xfId="0" applyNumberFormat="1" applyFill="1" applyBorder="1" applyAlignment="1" applyProtection="1">
      <alignment horizontal="center" vertical="center"/>
      <protection locked="0"/>
    </xf>
    <xf numFmtId="0" fontId="2" fillId="24" borderId="12" xfId="0" applyFont="1" applyFill="1" applyBorder="1" applyAlignment="1">
      <alignment vertical="center"/>
    </xf>
    <xf numFmtId="14" fontId="0" fillId="24" borderId="15" xfId="0" applyNumberFormat="1" applyFill="1" applyBorder="1" applyAlignment="1">
      <alignment horizontal="center" vertical="center"/>
    </xf>
    <xf numFmtId="14" fontId="0" fillId="24" borderId="12" xfId="0" applyNumberFormat="1" applyFill="1" applyBorder="1" applyAlignment="1">
      <alignment horizontal="center" vertical="center"/>
    </xf>
    <xf numFmtId="0" fontId="32" fillId="24" borderId="12" xfId="0" applyFont="1" applyFill="1" applyBorder="1" applyAlignment="1">
      <alignment horizontal="center" vertical="center"/>
    </xf>
    <xf numFmtId="0" fontId="2" fillId="24" borderId="3" xfId="0" applyFont="1" applyFill="1" applyBorder="1" applyAlignment="1">
      <alignment vertical="center"/>
    </xf>
    <xf numFmtId="0" fontId="2" fillId="24" borderId="0" xfId="0" applyFont="1" applyFill="1" applyAlignment="1">
      <alignment vertical="center"/>
    </xf>
    <xf numFmtId="0" fontId="2" fillId="0" borderId="0" xfId="0" applyFont="1" applyAlignment="1">
      <alignment wrapText="1"/>
    </xf>
    <xf numFmtId="0" fontId="2" fillId="0" borderId="0" xfId="0" applyFont="1" applyAlignment="1">
      <alignment vertical="center"/>
    </xf>
    <xf numFmtId="0" fontId="12" fillId="0" borderId="0" xfId="0" applyFont="1" applyAlignment="1">
      <alignment horizontal="right" vertical="center" wrapText="1"/>
    </xf>
    <xf numFmtId="0" fontId="2" fillId="0" borderId="0" xfId="0" applyFont="1" applyAlignment="1">
      <alignment vertical="top"/>
    </xf>
    <xf numFmtId="0" fontId="2" fillId="0" borderId="0" xfId="0" applyFont="1" applyAlignment="1">
      <alignment horizontal="center" vertical="center"/>
    </xf>
    <xf numFmtId="0" fontId="2" fillId="0" borderId="0" xfId="0" applyFont="1"/>
    <xf numFmtId="0" fontId="17" fillId="0" borderId="0" xfId="0" applyFont="1" applyAlignment="1">
      <alignment vertical="top" wrapText="1"/>
    </xf>
    <xf numFmtId="0" fontId="2" fillId="0" borderId="0" xfId="0" applyFont="1" applyAlignment="1">
      <alignment vertical="top" wrapText="1"/>
    </xf>
    <xf numFmtId="0" fontId="17" fillId="0" borderId="0" xfId="0" applyFont="1" applyAlignment="1">
      <alignment vertical="top"/>
    </xf>
    <xf numFmtId="0" fontId="37" fillId="25" borderId="10" xfId="0" applyFont="1" applyFill="1" applyBorder="1" applyAlignment="1">
      <alignment vertical="center"/>
    </xf>
    <xf numFmtId="0" fontId="10" fillId="25" borderId="11" xfId="0" applyFont="1" applyFill="1" applyBorder="1"/>
    <xf numFmtId="0" fontId="10" fillId="25" borderId="13" xfId="0" applyFont="1" applyFill="1" applyBorder="1"/>
    <xf numFmtId="0" fontId="2" fillId="25" borderId="1" xfId="0" applyFont="1" applyFill="1" applyBorder="1" applyAlignment="1">
      <alignment horizontal="center" vertical="center" wrapText="1"/>
    </xf>
    <xf numFmtId="14" fontId="0" fillId="26" borderId="2" xfId="0" applyNumberFormat="1" applyFill="1" applyBorder="1" applyAlignment="1">
      <alignment horizontal="center" vertical="center"/>
    </xf>
    <xf numFmtId="14" fontId="0" fillId="26" borderId="13" xfId="0" applyNumberFormat="1" applyFill="1" applyBorder="1" applyAlignment="1">
      <alignment horizontal="center" vertical="center"/>
    </xf>
    <xf numFmtId="0" fontId="32" fillId="0" borderId="0" xfId="0" applyFont="1" applyAlignment="1" applyProtection="1">
      <alignment vertical="center"/>
      <protection locked="0"/>
    </xf>
    <xf numFmtId="0" fontId="40" fillId="0" borderId="0" xfId="0" applyFont="1" applyAlignment="1">
      <alignment wrapText="1"/>
    </xf>
    <xf numFmtId="0" fontId="16" fillId="0" borderId="0" xfId="0" applyFont="1" applyAlignment="1">
      <alignment vertical="center" wrapText="1"/>
    </xf>
    <xf numFmtId="0" fontId="27" fillId="8" borderId="0" xfId="0" applyFont="1" applyFill="1" applyAlignment="1" applyProtection="1">
      <alignment vertical="center"/>
      <protection locked="0"/>
    </xf>
    <xf numFmtId="0" fontId="42" fillId="0" borderId="0" xfId="0" applyFont="1" applyAlignment="1">
      <alignment wrapText="1"/>
    </xf>
    <xf numFmtId="0" fontId="0" fillId="0" borderId="16" xfId="0" applyBorder="1" applyAlignment="1" applyProtection="1">
      <alignment horizontal="center" vertical="center"/>
      <protection locked="0"/>
    </xf>
    <xf numFmtId="0" fontId="32" fillId="0" borderId="19" xfId="0" applyFont="1" applyBorder="1" applyAlignment="1">
      <alignment horizontal="center" vertical="center"/>
    </xf>
    <xf numFmtId="0" fontId="43" fillId="4" borderId="1" xfId="0" applyFont="1" applyFill="1" applyBorder="1" applyAlignment="1" applyProtection="1">
      <alignment horizontal="center" vertical="center"/>
      <protection locked="0"/>
    </xf>
    <xf numFmtId="0" fontId="8" fillId="0" borderId="0" xfId="0" applyFont="1" applyAlignment="1" applyProtection="1">
      <alignment vertical="top"/>
      <protection locked="0"/>
    </xf>
    <xf numFmtId="0" fontId="2" fillId="0" borderId="0" xfId="0" applyFont="1" applyAlignment="1">
      <alignment vertical="center" wrapText="1"/>
    </xf>
    <xf numFmtId="0" fontId="0" fillId="0" borderId="0" xfId="0" applyAlignment="1" applyProtection="1">
      <alignment vertical="top"/>
      <protection locked="0"/>
    </xf>
    <xf numFmtId="0" fontId="0" fillId="0" borderId="0" xfId="0" applyAlignment="1" applyProtection="1">
      <alignment vertical="top" wrapText="1"/>
      <protection locked="0"/>
    </xf>
    <xf numFmtId="0" fontId="34" fillId="0" borderId="0" xfId="0" applyFont="1" applyAlignment="1">
      <alignment vertical="center" wrapText="1"/>
    </xf>
    <xf numFmtId="0" fontId="45" fillId="8" borderId="0" xfId="0" applyFont="1" applyFill="1" applyAlignment="1">
      <alignment vertical="center"/>
    </xf>
    <xf numFmtId="0" fontId="45" fillId="0" borderId="0" xfId="0" applyFont="1" applyAlignment="1">
      <alignment vertical="center"/>
    </xf>
    <xf numFmtId="0" fontId="8" fillId="8" borderId="0" xfId="0" applyFont="1" applyFill="1" applyAlignment="1" applyProtection="1">
      <alignment horizontal="center" vertical="center"/>
      <protection locked="0"/>
    </xf>
    <xf numFmtId="9" fontId="17" fillId="8" borderId="0" xfId="0" applyNumberFormat="1" applyFont="1" applyFill="1" applyAlignment="1" applyProtection="1">
      <alignment horizontal="center" vertical="center"/>
      <protection locked="0"/>
    </xf>
    <xf numFmtId="0" fontId="0" fillId="8" borderId="0" xfId="0" applyFill="1" applyAlignment="1">
      <alignment horizontal="center" vertical="center" wrapText="1"/>
    </xf>
    <xf numFmtId="1" fontId="8" fillId="8" borderId="0" xfId="0" applyNumberFormat="1" applyFont="1" applyFill="1" applyAlignment="1" applyProtection="1">
      <alignment horizontal="center" vertical="center"/>
      <protection locked="0"/>
    </xf>
    <xf numFmtId="1" fontId="8" fillId="8" borderId="0" xfId="0" applyNumberFormat="1" applyFont="1" applyFill="1" applyProtection="1">
      <protection locked="0"/>
    </xf>
    <xf numFmtId="0" fontId="8" fillId="8" borderId="0" xfId="0" applyFont="1" applyFill="1" applyAlignment="1" applyProtection="1">
      <alignment horizontal="left" vertical="center"/>
      <protection locked="0"/>
    </xf>
    <xf numFmtId="0" fontId="8" fillId="4" borderId="1" xfId="0" applyFont="1" applyFill="1" applyBorder="1" applyAlignment="1" applyProtection="1">
      <alignment horizontal="center" vertical="center" wrapText="1"/>
      <protection locked="0"/>
    </xf>
    <xf numFmtId="0" fontId="0" fillId="0" borderId="0" xfId="0" applyAlignment="1" applyProtection="1">
      <alignment vertical="center" wrapText="1"/>
      <protection locked="0"/>
    </xf>
    <xf numFmtId="0" fontId="10" fillId="27" borderId="10" xfId="0" applyFont="1" applyFill="1" applyBorder="1" applyAlignment="1">
      <alignment vertical="center"/>
    </xf>
    <xf numFmtId="0" fontId="10" fillId="27" borderId="11" xfId="0" applyFont="1" applyFill="1" applyBorder="1"/>
    <xf numFmtId="0" fontId="10" fillId="27" borderId="13" xfId="0" applyFont="1" applyFill="1" applyBorder="1"/>
    <xf numFmtId="0" fontId="2" fillId="27" borderId="1" xfId="0" applyFont="1" applyFill="1" applyBorder="1" applyAlignment="1">
      <alignment horizontal="center" vertical="center" wrapText="1"/>
    </xf>
    <xf numFmtId="0" fontId="2" fillId="3" borderId="12" xfId="0" applyFont="1" applyFill="1" applyBorder="1" applyAlignment="1">
      <alignment vertical="center"/>
    </xf>
    <xf numFmtId="14" fontId="0" fillId="3" borderId="15" xfId="0" applyNumberFormat="1" applyFill="1" applyBorder="1" applyAlignment="1">
      <alignment horizontal="center" vertical="center"/>
    </xf>
    <xf numFmtId="14" fontId="0" fillId="3" borderId="12" xfId="0" applyNumberFormat="1" applyFill="1" applyBorder="1" applyAlignment="1">
      <alignment horizontal="center" vertical="center"/>
    </xf>
    <xf numFmtId="0" fontId="32" fillId="3" borderId="12" xfId="0" applyFont="1" applyFill="1" applyBorder="1" applyAlignment="1">
      <alignment horizontal="center" vertical="center"/>
    </xf>
    <xf numFmtId="0" fontId="0" fillId="27" borderId="20" xfId="0" applyFill="1" applyBorder="1" applyAlignment="1">
      <alignment horizontal="center" vertical="center"/>
    </xf>
    <xf numFmtId="0" fontId="0" fillId="27" borderId="23" xfId="0" applyFill="1" applyBorder="1" applyAlignment="1">
      <alignment horizontal="center" vertical="center"/>
    </xf>
    <xf numFmtId="0" fontId="2" fillId="3" borderId="3" xfId="0" applyFont="1" applyFill="1" applyBorder="1" applyAlignment="1">
      <alignment vertical="center"/>
    </xf>
    <xf numFmtId="0" fontId="2" fillId="3" borderId="0" xfId="0" applyFont="1" applyFill="1" applyAlignment="1">
      <alignment vertical="center"/>
    </xf>
    <xf numFmtId="0" fontId="43" fillId="4" borderId="1" xfId="0" applyFont="1" applyFill="1" applyBorder="1" applyAlignment="1" applyProtection="1">
      <alignment horizontal="left" vertical="center"/>
      <protection locked="0"/>
    </xf>
    <xf numFmtId="0" fontId="8" fillId="4" borderId="1" xfId="0" applyFont="1" applyFill="1" applyBorder="1" applyAlignment="1" applyProtection="1">
      <alignment horizontal="center" vertical="center"/>
      <protection locked="0"/>
    </xf>
    <xf numFmtId="0" fontId="2" fillId="16" borderId="20" xfId="0" applyFont="1" applyFill="1" applyBorder="1" applyAlignment="1">
      <alignment horizontal="center" vertical="center" wrapText="1"/>
    </xf>
    <xf numFmtId="0" fontId="48" fillId="0" borderId="0" xfId="1" applyFont="1" applyAlignment="1" applyProtection="1">
      <alignment vertical="center" wrapText="1"/>
      <protection locked="0"/>
    </xf>
    <xf numFmtId="0" fontId="2" fillId="22" borderId="4" xfId="0" applyFont="1" applyFill="1" applyBorder="1" applyAlignment="1" applyProtection="1">
      <alignment horizontal="center" vertical="center"/>
      <protection locked="0"/>
    </xf>
    <xf numFmtId="0" fontId="2" fillId="22" borderId="14" xfId="0" applyFont="1" applyFill="1" applyBorder="1" applyAlignment="1" applyProtection="1">
      <alignment horizontal="center" vertical="center"/>
      <protection locked="0"/>
    </xf>
    <xf numFmtId="0" fontId="26" fillId="22" borderId="14" xfId="0" applyFont="1" applyFill="1" applyBorder="1" applyAlignment="1">
      <alignment horizontal="center" vertical="center"/>
    </xf>
    <xf numFmtId="0" fontId="2" fillId="22" borderId="14" xfId="0" applyFont="1" applyFill="1" applyBorder="1" applyAlignment="1">
      <alignment vertical="center"/>
    </xf>
    <xf numFmtId="0" fontId="49" fillId="8" borderId="0" xfId="0" applyFont="1" applyFill="1" applyAlignment="1">
      <alignment vertical="center"/>
    </xf>
    <xf numFmtId="14" fontId="0" fillId="0" borderId="4" xfId="0" applyNumberFormat="1" applyBorder="1" applyAlignment="1">
      <alignment horizontal="center" vertical="center"/>
    </xf>
    <xf numFmtId="14" fontId="0" fillId="0" borderId="14" xfId="0" applyNumberFormat="1" applyBorder="1" applyAlignment="1">
      <alignment horizontal="center" vertical="center"/>
    </xf>
    <xf numFmtId="0" fontId="2" fillId="23" borderId="0" xfId="0" applyFont="1" applyFill="1" applyAlignment="1">
      <alignment horizontal="center" vertical="center"/>
    </xf>
    <xf numFmtId="0" fontId="2" fillId="23" borderId="5" xfId="0" applyFont="1" applyFill="1" applyBorder="1" applyAlignment="1">
      <alignment vertical="center"/>
    </xf>
    <xf numFmtId="0" fontId="49" fillId="8" borderId="12" xfId="0" applyFont="1" applyFill="1" applyBorder="1" applyAlignment="1">
      <alignment vertical="center"/>
    </xf>
    <xf numFmtId="0" fontId="2" fillId="26" borderId="0" xfId="0" applyFont="1" applyFill="1" applyAlignment="1">
      <alignment horizontal="center" vertical="center"/>
    </xf>
    <xf numFmtId="0" fontId="2" fillId="26" borderId="5" xfId="0" applyFont="1" applyFill="1" applyBorder="1" applyAlignment="1">
      <alignment vertical="center"/>
    </xf>
    <xf numFmtId="0" fontId="49" fillId="24" borderId="0" xfId="0" applyFont="1" applyFill="1" applyAlignment="1">
      <alignment vertical="center"/>
    </xf>
    <xf numFmtId="0" fontId="0" fillId="24" borderId="0" xfId="0" applyFill="1" applyAlignment="1">
      <alignment horizontal="center" vertical="center"/>
    </xf>
    <xf numFmtId="0" fontId="8" fillId="0" borderId="15" xfId="0" applyFont="1" applyBorder="1" applyAlignment="1" applyProtection="1">
      <alignment horizontal="center" vertical="center"/>
      <protection locked="0"/>
    </xf>
    <xf numFmtId="0" fontId="8" fillId="0" borderId="12" xfId="0" applyFont="1" applyBorder="1" applyAlignment="1">
      <alignment horizontal="center" vertical="center"/>
    </xf>
    <xf numFmtId="0" fontId="8" fillId="24" borderId="15" xfId="0" applyFont="1" applyFill="1" applyBorder="1" applyAlignment="1" applyProtection="1">
      <alignment horizontal="center" vertical="center"/>
      <protection locked="0"/>
    </xf>
    <xf numFmtId="0" fontId="8" fillId="24" borderId="12" xfId="0" applyFont="1" applyFill="1" applyBorder="1" applyAlignment="1">
      <alignment horizontal="center" vertical="center"/>
    </xf>
    <xf numFmtId="0" fontId="8" fillId="0" borderId="2" xfId="0" applyFont="1" applyBorder="1" applyAlignment="1" applyProtection="1">
      <alignment horizontal="center" vertical="center"/>
      <protection locked="0"/>
    </xf>
    <xf numFmtId="0" fontId="8" fillId="0" borderId="13" xfId="0" applyFont="1" applyBorder="1" applyAlignment="1">
      <alignment horizontal="center" vertical="center"/>
    </xf>
    <xf numFmtId="0" fontId="2" fillId="0" borderId="4" xfId="0" applyFont="1" applyBorder="1" applyAlignment="1">
      <alignment horizontal="center" vertical="center"/>
    </xf>
    <xf numFmtId="0" fontId="0" fillId="3" borderId="0" xfId="0" applyFill="1" applyAlignment="1">
      <alignment horizontal="center" vertical="center"/>
    </xf>
    <xf numFmtId="0" fontId="8" fillId="3" borderId="15" xfId="0" applyFont="1" applyFill="1" applyBorder="1" applyAlignment="1" applyProtection="1">
      <alignment horizontal="center" vertical="center"/>
      <protection locked="0"/>
    </xf>
    <xf numFmtId="0" fontId="8" fillId="3" borderId="12" xfId="0" applyFont="1" applyFill="1" applyBorder="1" applyAlignment="1">
      <alignment horizontal="center" vertical="center"/>
    </xf>
    <xf numFmtId="0" fontId="49" fillId="3" borderId="0" xfId="0" applyFont="1" applyFill="1" applyAlignment="1">
      <alignment vertical="center"/>
    </xf>
    <xf numFmtId="0" fontId="0" fillId="3" borderId="24" xfId="0" applyFill="1" applyBorder="1" applyAlignment="1">
      <alignment horizontal="center" vertical="center"/>
    </xf>
    <xf numFmtId="0" fontId="0" fillId="3" borderId="9" xfId="0" applyFill="1" applyBorder="1" applyAlignment="1">
      <alignment horizontal="center" vertical="center"/>
    </xf>
    <xf numFmtId="0" fontId="0" fillId="24" borderId="9" xfId="0" applyFill="1" applyBorder="1" applyAlignment="1">
      <alignment horizontal="center" vertical="center"/>
    </xf>
    <xf numFmtId="0" fontId="0" fillId="24" borderId="24" xfId="0" applyFill="1" applyBorder="1" applyAlignment="1">
      <alignment horizontal="center" vertical="center"/>
    </xf>
    <xf numFmtId="0" fontId="32" fillId="26" borderId="9" xfId="0" applyFont="1" applyFill="1" applyBorder="1" applyAlignment="1">
      <alignment horizontal="center" vertical="center"/>
    </xf>
    <xf numFmtId="0" fontId="32" fillId="23" borderId="9" xfId="0" applyFont="1" applyFill="1" applyBorder="1" applyAlignment="1">
      <alignment horizontal="center" vertical="center"/>
    </xf>
    <xf numFmtId="0" fontId="0" fillId="3" borderId="13" xfId="0" applyFill="1" applyBorder="1" applyAlignment="1">
      <alignment horizontal="center" vertical="center"/>
    </xf>
    <xf numFmtId="0" fontId="48" fillId="8" borderId="0" xfId="1" applyFont="1" applyFill="1" applyAlignment="1" applyProtection="1">
      <alignment vertical="center" wrapText="1"/>
      <protection locked="0"/>
    </xf>
    <xf numFmtId="0" fontId="10" fillId="27" borderId="0" xfId="0" applyFont="1" applyFill="1"/>
    <xf numFmtId="0" fontId="0" fillId="27" borderId="0" xfId="0" applyFill="1"/>
    <xf numFmtId="0" fontId="11" fillId="27" borderId="0" xfId="0" applyFont="1" applyFill="1"/>
    <xf numFmtId="0" fontId="10" fillId="11" borderId="0" xfId="0" applyFont="1" applyFill="1"/>
    <xf numFmtId="0" fontId="0" fillId="11" borderId="0" xfId="0" applyFill="1"/>
    <xf numFmtId="0" fontId="11" fillId="11" borderId="0" xfId="0" applyFont="1" applyFill="1"/>
    <xf numFmtId="0" fontId="0" fillId="8" borderId="0" xfId="0" applyFill="1"/>
    <xf numFmtId="0" fontId="54" fillId="22" borderId="0" xfId="0" applyFont="1" applyFill="1" applyAlignment="1">
      <alignment vertical="center"/>
    </xf>
    <xf numFmtId="0" fontId="54" fillId="8" borderId="0" xfId="0" applyFont="1" applyFill="1" applyAlignment="1">
      <alignment vertical="center"/>
    </xf>
    <xf numFmtId="0" fontId="26" fillId="8" borderId="4" xfId="0" applyFont="1" applyFill="1" applyBorder="1" applyAlignment="1">
      <alignment vertical="center"/>
    </xf>
    <xf numFmtId="0" fontId="55" fillId="22" borderId="2" xfId="0" applyFont="1" applyFill="1" applyBorder="1" applyAlignment="1" applyProtection="1">
      <alignment horizontal="center" vertical="center"/>
      <protection locked="0"/>
    </xf>
    <xf numFmtId="0" fontId="55" fillId="22" borderId="13" xfId="0" applyFont="1" applyFill="1" applyBorder="1" applyAlignment="1" applyProtection="1">
      <alignment horizontal="center" vertical="center"/>
      <protection locked="0"/>
    </xf>
    <xf numFmtId="0" fontId="55" fillId="8" borderId="12" xfId="0" applyFont="1" applyFill="1" applyBorder="1" applyAlignment="1" applyProtection="1">
      <alignment horizontal="center" vertical="center"/>
      <protection locked="0"/>
    </xf>
    <xf numFmtId="0" fontId="55" fillId="22" borderId="12" xfId="0" applyFont="1" applyFill="1" applyBorder="1" applyAlignment="1" applyProtection="1">
      <alignment horizontal="center" vertical="center"/>
      <protection locked="0"/>
    </xf>
    <xf numFmtId="0" fontId="55" fillId="8" borderId="2" xfId="0" applyFont="1" applyFill="1" applyBorder="1" applyAlignment="1" applyProtection="1">
      <alignment horizontal="center" vertical="center"/>
      <protection locked="0"/>
    </xf>
    <xf numFmtId="0" fontId="55" fillId="22" borderId="15" xfId="0" applyFont="1" applyFill="1" applyBorder="1" applyAlignment="1" applyProtection="1">
      <alignment horizontal="center" vertical="center"/>
      <protection locked="0"/>
    </xf>
    <xf numFmtId="0" fontId="55" fillId="8" borderId="15" xfId="0" applyFont="1" applyFill="1" applyBorder="1" applyAlignment="1" applyProtection="1">
      <alignment horizontal="center" vertical="center"/>
      <protection locked="0"/>
    </xf>
    <xf numFmtId="0" fontId="55" fillId="8" borderId="13" xfId="0" applyFont="1" applyFill="1" applyBorder="1" applyAlignment="1">
      <alignment horizontal="center" vertical="center"/>
    </xf>
    <xf numFmtId="0" fontId="55" fillId="23" borderId="4" xfId="0" applyFont="1" applyFill="1" applyBorder="1" applyAlignment="1" applyProtection="1">
      <alignment horizontal="center" vertical="center"/>
      <protection locked="0"/>
    </xf>
    <xf numFmtId="0" fontId="55" fillId="23" borderId="14" xfId="0" applyFont="1" applyFill="1" applyBorder="1" applyAlignment="1">
      <alignment horizontal="center" vertical="center"/>
    </xf>
    <xf numFmtId="0" fontId="55" fillId="26" borderId="4" xfId="0" applyFont="1" applyFill="1" applyBorder="1" applyAlignment="1" applyProtection="1">
      <alignment horizontal="center" vertical="center"/>
      <protection locked="0"/>
    </xf>
    <xf numFmtId="0" fontId="55" fillId="26" borderId="14" xfId="0" applyFont="1" applyFill="1" applyBorder="1" applyAlignment="1">
      <alignment horizontal="center" vertical="center"/>
    </xf>
    <xf numFmtId="0" fontId="55" fillId="3" borderId="1" xfId="0" applyFont="1" applyFill="1" applyBorder="1" applyAlignment="1" applyProtection="1">
      <alignment horizontal="center" vertical="center"/>
      <protection locked="0"/>
    </xf>
    <xf numFmtId="0" fontId="55" fillId="24" borderId="1" xfId="0" applyFont="1" applyFill="1" applyBorder="1" applyAlignment="1" applyProtection="1">
      <alignment horizontal="center" vertical="center"/>
      <protection locked="0"/>
    </xf>
    <xf numFmtId="0" fontId="17" fillId="0" borderId="0" xfId="0" applyFont="1" applyAlignment="1">
      <alignment vertical="center"/>
    </xf>
    <xf numFmtId="0" fontId="2" fillId="8" borderId="0" xfId="0" applyFont="1" applyFill="1" applyAlignment="1">
      <alignment horizontal="center" vertical="center" wrapText="1"/>
    </xf>
    <xf numFmtId="0" fontId="41" fillId="22" borderId="13" xfId="0" applyFont="1" applyFill="1" applyBorder="1" applyAlignment="1">
      <alignment horizontal="center" vertical="center"/>
    </xf>
    <xf numFmtId="0" fontId="26" fillId="8" borderId="12" xfId="0" applyFont="1" applyFill="1" applyBorder="1" applyAlignment="1">
      <alignment horizontal="center" vertical="center"/>
    </xf>
    <xf numFmtId="0" fontId="41" fillId="22" borderId="2" xfId="0" applyFont="1" applyFill="1" applyBorder="1" applyAlignment="1">
      <alignment horizontal="center" vertical="center"/>
    </xf>
    <xf numFmtId="0" fontId="32" fillId="22" borderId="25" xfId="0" applyFont="1" applyFill="1" applyBorder="1" applyAlignment="1">
      <alignment vertical="center"/>
    </xf>
    <xf numFmtId="0" fontId="2" fillId="22" borderId="26" xfId="0" applyFont="1" applyFill="1" applyBorder="1" applyAlignment="1">
      <alignment vertical="center"/>
    </xf>
    <xf numFmtId="0" fontId="26" fillId="22" borderId="25" xfId="0" applyFont="1" applyFill="1" applyBorder="1" applyAlignment="1">
      <alignment horizontal="center" vertical="center"/>
    </xf>
    <xf numFmtId="0" fontId="0" fillId="0" borderId="0" xfId="0" quotePrefix="1" applyAlignment="1">
      <alignment vertical="top"/>
    </xf>
    <xf numFmtId="0" fontId="60" fillId="6" borderId="1" xfId="0" applyFont="1" applyFill="1" applyBorder="1" applyAlignment="1" applyProtection="1">
      <alignment horizontal="center" vertical="center" wrapText="1"/>
      <protection locked="0"/>
    </xf>
    <xf numFmtId="164" fontId="0" fillId="0" borderId="5" xfId="2" applyNumberFormat="1" applyFont="1" applyBorder="1" applyAlignment="1">
      <alignment horizontal="center" vertical="center"/>
    </xf>
    <xf numFmtId="164" fontId="0" fillId="0" borderId="4" xfId="2" applyNumberFormat="1" applyFont="1" applyBorder="1" applyAlignment="1">
      <alignment horizontal="center" vertical="center"/>
    </xf>
    <xf numFmtId="164" fontId="32" fillId="0" borderId="14" xfId="2" applyNumberFormat="1" applyFont="1" applyBorder="1" applyAlignment="1">
      <alignment horizontal="center" vertical="center"/>
    </xf>
    <xf numFmtId="164" fontId="2" fillId="0" borderId="3" xfId="2" applyNumberFormat="1" applyFont="1" applyBorder="1" applyAlignment="1">
      <alignment horizontal="center" vertical="center"/>
    </xf>
    <xf numFmtId="164" fontId="2" fillId="0" borderId="1" xfId="2" applyNumberFormat="1" applyFont="1" applyBorder="1" applyAlignment="1">
      <alignment horizontal="center" vertical="center"/>
    </xf>
    <xf numFmtId="164" fontId="32" fillId="0" borderId="12" xfId="2" applyNumberFormat="1" applyFont="1" applyBorder="1" applyAlignment="1">
      <alignment horizontal="center" vertical="center"/>
    </xf>
    <xf numFmtId="164" fontId="2" fillId="0" borderId="5" xfId="2" applyNumberFormat="1" applyFont="1" applyBorder="1" applyAlignment="1">
      <alignment horizontal="center" vertical="center"/>
    </xf>
    <xf numFmtId="164" fontId="32" fillId="0" borderId="5" xfId="2" applyNumberFormat="1" applyFont="1" applyBorder="1" applyAlignment="1">
      <alignment horizontal="center" vertical="center"/>
    </xf>
    <xf numFmtId="164" fontId="32" fillId="0" borderId="1" xfId="2" applyNumberFormat="1" applyFont="1" applyBorder="1" applyAlignment="1">
      <alignment horizontal="center" vertical="center"/>
    </xf>
    <xf numFmtId="0" fontId="44" fillId="8" borderId="14" xfId="0" applyFont="1" applyFill="1" applyBorder="1" applyAlignment="1">
      <alignment horizontal="center" vertical="center"/>
    </xf>
    <xf numFmtId="0" fontId="44" fillId="22" borderId="9" xfId="0" applyFont="1" applyFill="1" applyBorder="1" applyAlignment="1">
      <alignment horizontal="center" vertical="center"/>
    </xf>
    <xf numFmtId="0" fontId="49" fillId="8" borderId="14" xfId="0" applyFont="1" applyFill="1" applyBorder="1" applyAlignment="1">
      <alignment horizontal="center" vertical="center"/>
    </xf>
    <xf numFmtId="14" fontId="8" fillId="4" borderId="4" xfId="0" applyNumberFormat="1" applyFont="1" applyFill="1" applyBorder="1" applyProtection="1">
      <protection locked="0"/>
    </xf>
    <xf numFmtId="0" fontId="62" fillId="0" borderId="0" xfId="0" applyFont="1"/>
    <xf numFmtId="0" fontId="2" fillId="0" borderId="5" xfId="0" applyFont="1" applyBorder="1" applyAlignment="1">
      <alignment horizontal="center" vertical="center"/>
    </xf>
    <xf numFmtId="0" fontId="4" fillId="0" borderId="0" xfId="0" applyFont="1"/>
    <xf numFmtId="0" fontId="21" fillId="0" borderId="0" xfId="0" applyFont="1" applyProtection="1">
      <protection locked="0"/>
    </xf>
    <xf numFmtId="0" fontId="21" fillId="0" borderId="0" xfId="0" applyFont="1" applyAlignment="1">
      <alignment vertical="center"/>
    </xf>
    <xf numFmtId="0" fontId="64" fillId="0" borderId="0" xfId="0" applyFont="1"/>
    <xf numFmtId="0" fontId="55" fillId="22" borderId="11" xfId="0" applyFont="1" applyFill="1" applyBorder="1" applyAlignment="1">
      <alignment horizontal="right" vertical="center"/>
    </xf>
    <xf numFmtId="0" fontId="55" fillId="8" borderId="12" xfId="0" applyFont="1" applyFill="1" applyBorder="1" applyAlignment="1">
      <alignment horizontal="right" vertical="center"/>
    </xf>
    <xf numFmtId="0" fontId="0" fillId="0" borderId="0" xfId="0" applyProtection="1">
      <protection locked="0"/>
    </xf>
    <xf numFmtId="0" fontId="0" fillId="0" borderId="0" xfId="0" applyAlignment="1" applyProtection="1">
      <alignment vertical="center"/>
      <protection locked="0"/>
    </xf>
    <xf numFmtId="0" fontId="0" fillId="0" borderId="0" xfId="0" applyAlignment="1">
      <alignment wrapText="1"/>
    </xf>
    <xf numFmtId="0" fontId="64" fillId="0" borderId="0" xfId="0" applyFont="1" applyAlignment="1">
      <alignment horizontal="center" vertical="center"/>
    </xf>
    <xf numFmtId="0" fontId="3" fillId="0" borderId="0" xfId="0" applyFont="1" applyAlignment="1">
      <alignment horizontal="center" vertical="center"/>
    </xf>
    <xf numFmtId="0" fontId="56" fillId="8" borderId="0" xfId="0" applyFont="1" applyFill="1" applyAlignment="1">
      <alignment vertical="center" wrapText="1"/>
    </xf>
    <xf numFmtId="0" fontId="12" fillId="0" borderId="0" xfId="0" applyFont="1" applyAlignment="1">
      <alignment horizontal="left" vertical="center" wrapText="1"/>
    </xf>
    <xf numFmtId="0" fontId="47" fillId="0" borderId="0" xfId="0" applyFont="1" applyAlignment="1">
      <alignment vertical="center"/>
    </xf>
    <xf numFmtId="0" fontId="26" fillId="0" borderId="0" xfId="0" applyFont="1" applyAlignment="1">
      <alignment vertical="center" wrapText="1"/>
    </xf>
    <xf numFmtId="0" fontId="64" fillId="8" borderId="0" xfId="0" applyFont="1" applyFill="1" applyAlignment="1">
      <alignment horizontal="center" vertical="center"/>
    </xf>
    <xf numFmtId="0" fontId="4" fillId="0" borderId="0" xfId="0" applyFont="1" applyAlignment="1">
      <alignment horizontal="center" vertical="center"/>
    </xf>
    <xf numFmtId="0" fontId="34" fillId="0" borderId="0" xfId="0" applyFont="1" applyAlignment="1">
      <alignment horizontal="center"/>
    </xf>
    <xf numFmtId="0" fontId="34" fillId="0" borderId="0" xfId="0" applyFont="1" applyAlignment="1">
      <alignment vertical="center"/>
    </xf>
    <xf numFmtId="0" fontId="4" fillId="0" borderId="0" xfId="0" applyFont="1" applyAlignment="1">
      <alignment horizontal="right"/>
    </xf>
    <xf numFmtId="0" fontId="34" fillId="0" borderId="0" xfId="0" applyFont="1" applyAlignment="1">
      <alignment horizontal="center" vertical="center"/>
    </xf>
    <xf numFmtId="0" fontId="4" fillId="0" borderId="0" xfId="0" applyFont="1" applyAlignment="1">
      <alignment vertical="center"/>
    </xf>
    <xf numFmtId="0" fontId="34" fillId="0" borderId="0" xfId="0" applyFont="1"/>
    <xf numFmtId="0" fontId="4" fillId="8" borderId="0" xfId="0" applyFont="1" applyFill="1"/>
    <xf numFmtId="0" fontId="69" fillId="0" borderId="0" xfId="0" applyFont="1"/>
    <xf numFmtId="0" fontId="17" fillId="0" borderId="0" xfId="0" applyFont="1" applyAlignment="1">
      <alignment horizontal="center" vertical="center"/>
    </xf>
    <xf numFmtId="0" fontId="3" fillId="8" borderId="0" xfId="0" applyFont="1" applyFill="1" applyAlignment="1">
      <alignment horizontal="center" vertical="center"/>
    </xf>
    <xf numFmtId="0" fontId="67" fillId="0" borderId="0" xfId="0" applyFont="1" applyAlignment="1">
      <alignment vertical="center"/>
    </xf>
    <xf numFmtId="0" fontId="3" fillId="0" borderId="0" xfId="0" applyFont="1" applyAlignment="1">
      <alignment horizontal="right"/>
    </xf>
    <xf numFmtId="0" fontId="67" fillId="0" borderId="0" xfId="0" applyFont="1" applyAlignment="1">
      <alignment horizontal="center" vertical="center"/>
    </xf>
    <xf numFmtId="10" fontId="17" fillId="0" borderId="3" xfId="2" applyNumberFormat="1" applyFont="1" applyBorder="1" applyAlignment="1">
      <alignment horizontal="center" vertical="center"/>
    </xf>
    <xf numFmtId="0" fontId="8" fillId="8" borderId="0" xfId="0" applyFont="1" applyFill="1" applyAlignment="1">
      <alignment horizontal="center" vertical="center"/>
    </xf>
    <xf numFmtId="10" fontId="17" fillId="0" borderId="0" xfId="2" applyNumberFormat="1" applyFont="1" applyAlignment="1">
      <alignment horizontal="center" vertical="center"/>
    </xf>
    <xf numFmtId="0" fontId="34" fillId="0" borderId="0" xfId="0" applyFont="1" applyAlignment="1">
      <alignment horizontal="center" wrapText="1"/>
    </xf>
    <xf numFmtId="0" fontId="54" fillId="22" borderId="4" xfId="0" applyFont="1" applyFill="1" applyBorder="1" applyAlignment="1">
      <alignment vertical="center"/>
    </xf>
    <xf numFmtId="0" fontId="52" fillId="8" borderId="0" xfId="0" applyFont="1" applyFill="1" applyAlignment="1">
      <alignment horizontal="center"/>
    </xf>
    <xf numFmtId="0" fontId="47" fillId="0" borderId="0" xfId="0" applyFont="1" applyAlignment="1">
      <alignment horizontal="center"/>
    </xf>
    <xf numFmtId="0" fontId="47" fillId="0" borderId="0" xfId="0" applyFont="1" applyAlignment="1">
      <alignment horizontal="left" vertical="center"/>
    </xf>
    <xf numFmtId="0" fontId="47" fillId="0" borderId="0" xfId="0" applyFont="1" applyAlignment="1">
      <alignment horizontal="left"/>
    </xf>
    <xf numFmtId="0" fontId="2" fillId="0" borderId="0" xfId="0" applyFont="1" applyAlignment="1">
      <alignment vertical="center" wrapText="1"/>
    </xf>
    <xf numFmtId="0" fontId="2" fillId="0" borderId="0" xfId="0" applyFont="1" applyAlignment="1">
      <alignment wrapText="1"/>
    </xf>
    <xf numFmtId="0" fontId="2" fillId="0" borderId="0" xfId="0" applyFont="1" applyAlignment="1">
      <alignment horizontal="left" vertical="top" wrapText="1"/>
    </xf>
    <xf numFmtId="0" fontId="0" fillId="0" borderId="0" xfId="0" applyAlignment="1" applyProtection="1">
      <alignment horizontal="center" vertical="center"/>
      <protection locked="0"/>
    </xf>
    <xf numFmtId="0" fontId="2" fillId="0" borderId="0" xfId="0" applyFont="1" applyAlignment="1">
      <alignment horizontal="center"/>
    </xf>
    <xf numFmtId="0" fontId="2" fillId="0" borderId="0" xfId="0" applyFont="1" applyAlignment="1" applyProtection="1">
      <alignment vertical="top" wrapText="1"/>
      <protection locked="0"/>
    </xf>
    <xf numFmtId="0" fontId="0" fillId="0" borderId="0" xfId="0"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9" fillId="6" borderId="5" xfId="1" applyFont="1" applyFill="1" applyBorder="1" applyAlignment="1" applyProtection="1">
      <alignment horizontal="center" vertical="center" wrapText="1"/>
      <protection locked="0"/>
    </xf>
    <xf numFmtId="0" fontId="29" fillId="6" borderId="6" xfId="1" applyFont="1" applyFill="1" applyBorder="1" applyAlignment="1" applyProtection="1">
      <alignment horizontal="center" vertical="center" wrapText="1"/>
      <protection locked="0"/>
    </xf>
    <xf numFmtId="0" fontId="29" fillId="6" borderId="14" xfId="1" applyFont="1" applyFill="1" applyBorder="1" applyAlignment="1" applyProtection="1">
      <alignment horizontal="center" vertical="center" wrapText="1"/>
      <protection locked="0"/>
    </xf>
    <xf numFmtId="0" fontId="2" fillId="24" borderId="3" xfId="0" applyFont="1" applyFill="1" applyBorder="1" applyAlignment="1">
      <alignment vertical="center" wrapText="1"/>
    </xf>
    <xf numFmtId="0" fontId="2" fillId="24" borderId="0" xfId="0" applyFont="1" applyFill="1" applyAlignment="1">
      <alignment vertical="center"/>
    </xf>
    <xf numFmtId="0" fontId="51" fillId="0" borderId="0" xfId="0" applyFont="1" applyAlignment="1">
      <alignment horizontal="center" wrapText="1"/>
    </xf>
    <xf numFmtId="0" fontId="0" fillId="0" borderId="0" xfId="0" applyAlignment="1" applyProtection="1">
      <alignment vertical="top" wrapText="1"/>
      <protection locked="0"/>
    </xf>
    <xf numFmtId="0" fontId="19" fillId="0" borderId="0" xfId="0" applyFont="1" applyAlignment="1">
      <alignment horizontal="left"/>
    </xf>
    <xf numFmtId="0" fontId="2" fillId="15" borderId="5" xfId="0" applyFont="1" applyFill="1" applyBorder="1" applyAlignment="1">
      <alignment horizontal="justify" vertical="center" wrapText="1"/>
    </xf>
    <xf numFmtId="0" fontId="24" fillId="15" borderId="6" xfId="0" applyFont="1" applyFill="1" applyBorder="1" applyAlignment="1">
      <alignment horizontal="justify" vertical="center" wrapText="1"/>
    </xf>
    <xf numFmtId="0" fontId="24" fillId="15" borderId="14" xfId="0" applyFont="1" applyFill="1" applyBorder="1" applyAlignment="1">
      <alignment horizontal="justify" vertical="center" wrapText="1"/>
    </xf>
    <xf numFmtId="0" fontId="32" fillId="16" borderId="7" xfId="0" applyFont="1" applyFill="1" applyBorder="1" applyAlignment="1">
      <alignment horizontal="center" vertical="center" wrapText="1"/>
    </xf>
    <xf numFmtId="0" fontId="32" fillId="16" borderId="8" xfId="0" applyFont="1" applyFill="1" applyBorder="1" applyAlignment="1">
      <alignment horizontal="center" vertical="center" wrapText="1"/>
    </xf>
    <xf numFmtId="0" fontId="32" fillId="16" borderId="9" xfId="0" applyFont="1" applyFill="1" applyBorder="1" applyAlignment="1">
      <alignment horizontal="center" vertical="center" wrapText="1"/>
    </xf>
    <xf numFmtId="0" fontId="0" fillId="0" borderId="0" xfId="0" applyAlignment="1">
      <alignment horizontal="left" vertical="center"/>
    </xf>
    <xf numFmtId="0" fontId="0" fillId="0" borderId="0" xfId="0" applyAlignment="1" applyProtection="1">
      <alignment horizontal="justify" vertical="top"/>
      <protection locked="0"/>
    </xf>
    <xf numFmtId="0" fontId="47" fillId="0" borderId="0" xfId="0" applyFont="1"/>
    <xf numFmtId="0" fontId="2" fillId="8" borderId="10" xfId="0" applyFont="1" applyFill="1" applyBorder="1" applyAlignment="1">
      <alignment vertical="center"/>
    </xf>
    <xf numFmtId="0" fontId="2" fillId="8" borderId="11" xfId="0" applyFont="1" applyFill="1" applyBorder="1" applyAlignment="1">
      <alignment vertical="center"/>
    </xf>
    <xf numFmtId="0" fontId="2" fillId="8" borderId="13" xfId="0" applyFont="1" applyFill="1" applyBorder="1" applyAlignment="1">
      <alignment vertical="center"/>
    </xf>
    <xf numFmtId="0" fontId="2" fillId="24" borderId="3" xfId="0" applyFont="1" applyFill="1" applyBorder="1" applyAlignment="1">
      <alignment vertical="center"/>
    </xf>
    <xf numFmtId="0" fontId="8" fillId="8" borderId="0" xfId="0" applyFont="1" applyFill="1" applyAlignment="1" applyProtection="1">
      <alignment horizontal="left" vertical="center" wrapText="1"/>
      <protection locked="0"/>
    </xf>
    <xf numFmtId="0" fontId="0" fillId="8" borderId="0" xfId="0" applyFill="1" applyAlignment="1">
      <alignment horizontal="center" vertical="center"/>
    </xf>
    <xf numFmtId="0" fontId="2" fillId="0" borderId="0" xfId="0" applyFont="1" applyAlignment="1">
      <alignment horizontal="left" vertical="center" wrapText="1"/>
    </xf>
    <xf numFmtId="0" fontId="46" fillId="0" borderId="0" xfId="0" applyFont="1" applyAlignment="1" applyProtection="1">
      <alignment vertical="top" wrapText="1"/>
      <protection locked="0"/>
    </xf>
    <xf numFmtId="0" fontId="42" fillId="0" borderId="0" xfId="0" applyFont="1" applyAlignment="1">
      <alignment horizontal="right" wrapText="1"/>
    </xf>
    <xf numFmtId="0" fontId="32" fillId="8" borderId="0" xfId="0" applyFont="1" applyFill="1" applyAlignment="1">
      <alignment vertical="center"/>
    </xf>
    <xf numFmtId="0" fontId="5" fillId="0" borderId="0" xfId="0" applyFont="1" applyAlignment="1">
      <alignment horizontal="left" wrapText="1"/>
    </xf>
    <xf numFmtId="0" fontId="5" fillId="0" borderId="12" xfId="0" applyFont="1" applyBorder="1" applyAlignment="1">
      <alignment horizontal="left" wrapText="1"/>
    </xf>
    <xf numFmtId="0" fontId="2" fillId="8" borderId="5" xfId="0" applyFont="1" applyFill="1" applyBorder="1" applyAlignment="1">
      <alignment horizontal="left" vertical="center"/>
    </xf>
    <xf numFmtId="0" fontId="2" fillId="8" borderId="6" xfId="0" applyFont="1" applyFill="1" applyBorder="1" applyAlignment="1">
      <alignment horizontal="left" vertical="center"/>
    </xf>
    <xf numFmtId="0" fontId="2" fillId="8" borderId="14" xfId="0" applyFont="1" applyFill="1" applyBorder="1" applyAlignment="1">
      <alignment horizontal="left" vertical="center"/>
    </xf>
    <xf numFmtId="0" fontId="8" fillId="0" borderId="0" xfId="0" applyFont="1" applyAlignment="1" applyProtection="1">
      <alignment vertical="top" wrapText="1"/>
      <protection locked="0"/>
    </xf>
    <xf numFmtId="0" fontId="29" fillId="3" borderId="0" xfId="1" applyFont="1" applyFill="1" applyAlignment="1" applyProtection="1">
      <alignment horizontal="center" vertical="top" wrapText="1"/>
      <protection locked="0"/>
    </xf>
    <xf numFmtId="0" fontId="24" fillId="3" borderId="0" xfId="0" applyFont="1" applyFill="1" applyAlignment="1">
      <alignment horizontal="justify" vertical="center" wrapText="1"/>
    </xf>
    <xf numFmtId="0" fontId="48" fillId="0" borderId="0" xfId="1" applyFont="1" applyAlignment="1">
      <alignment wrapText="1"/>
    </xf>
    <xf numFmtId="0" fontId="39" fillId="8" borderId="7" xfId="0" applyFont="1" applyFill="1" applyBorder="1" applyAlignment="1">
      <alignment horizontal="center" vertical="center" wrapText="1"/>
    </xf>
    <xf numFmtId="0" fontId="39" fillId="8" borderId="8" xfId="0" applyFont="1" applyFill="1" applyBorder="1" applyAlignment="1">
      <alignment horizontal="center" vertical="center" wrapText="1"/>
    </xf>
    <xf numFmtId="0" fontId="39" fillId="8" borderId="9" xfId="0" applyFont="1" applyFill="1" applyBorder="1" applyAlignment="1">
      <alignment horizontal="center" vertical="center" wrapText="1"/>
    </xf>
    <xf numFmtId="0" fontId="48" fillId="8" borderId="0" xfId="1" applyFont="1" applyFill="1" applyAlignment="1" applyProtection="1">
      <alignment vertical="center" wrapText="1"/>
      <protection locked="0"/>
    </xf>
    <xf numFmtId="0" fontId="38" fillId="0" borderId="0" xfId="0" applyFont="1" applyAlignment="1">
      <alignment horizontal="center" vertical="center" wrapText="1"/>
    </xf>
    <xf numFmtId="0" fontId="32" fillId="8" borderId="7" xfId="0" applyFont="1" applyFill="1" applyBorder="1" applyAlignment="1">
      <alignment horizontal="center" vertical="center" wrapText="1"/>
    </xf>
    <xf numFmtId="0" fontId="32" fillId="8" borderId="8" xfId="0" applyFont="1" applyFill="1" applyBorder="1" applyAlignment="1">
      <alignment horizontal="center" vertical="center" wrapText="1"/>
    </xf>
    <xf numFmtId="0" fontId="32" fillId="8" borderId="9" xfId="0" applyFont="1" applyFill="1" applyBorder="1" applyAlignment="1">
      <alignment horizontal="center" vertical="center" wrapText="1"/>
    </xf>
    <xf numFmtId="0" fontId="32" fillId="0" borderId="7" xfId="0" applyFont="1" applyBorder="1" applyAlignment="1" applyProtection="1">
      <alignment horizontal="center" vertical="center"/>
      <protection locked="0"/>
    </xf>
    <xf numFmtId="0" fontId="32" fillId="0" borderId="9" xfId="0" applyFont="1" applyBorder="1" applyAlignment="1" applyProtection="1">
      <alignment horizontal="center" vertical="center"/>
      <protection locked="0"/>
    </xf>
    <xf numFmtId="0" fontId="2" fillId="0" borderId="0" xfId="0" applyFont="1" applyAlignment="1">
      <alignment horizontal="center" vertical="center"/>
    </xf>
    <xf numFmtId="0" fontId="2" fillId="3" borderId="3" xfId="0" applyFont="1" applyFill="1" applyBorder="1" applyAlignment="1">
      <alignment vertical="center" wrapText="1"/>
    </xf>
    <xf numFmtId="0" fontId="2" fillId="3" borderId="0" xfId="0" applyFont="1" applyFill="1" applyAlignment="1">
      <alignment vertical="center"/>
    </xf>
    <xf numFmtId="0" fontId="8" fillId="8" borderId="0" xfId="0" applyFont="1" applyFill="1" applyAlignment="1" applyProtection="1">
      <alignment horizontal="left" vertical="center"/>
      <protection locked="0"/>
    </xf>
    <xf numFmtId="0" fontId="2" fillId="8" borderId="10" xfId="0" applyFont="1" applyFill="1" applyBorder="1" applyAlignment="1">
      <alignment vertical="center" wrapText="1"/>
    </xf>
    <xf numFmtId="0" fontId="2" fillId="8" borderId="11" xfId="0" applyFont="1" applyFill="1" applyBorder="1" applyAlignment="1">
      <alignment vertical="center" wrapText="1"/>
    </xf>
    <xf numFmtId="0" fontId="2" fillId="8" borderId="3" xfId="0" applyFont="1" applyFill="1" applyBorder="1" applyAlignment="1">
      <alignment vertical="center"/>
    </xf>
    <xf numFmtId="0" fontId="2" fillId="8" borderId="0" xfId="0" applyFont="1" applyFill="1" applyAlignment="1">
      <alignment vertical="center"/>
    </xf>
    <xf numFmtId="0" fontId="24" fillId="11" borderId="7" xfId="0" applyFont="1" applyFill="1" applyBorder="1" applyAlignment="1">
      <alignment horizontal="justify" vertical="center" wrapText="1"/>
    </xf>
    <xf numFmtId="0" fontId="24" fillId="11" borderId="8" xfId="0" applyFont="1" applyFill="1" applyBorder="1" applyAlignment="1">
      <alignment horizontal="justify" vertical="center" wrapText="1"/>
    </xf>
    <xf numFmtId="0" fontId="24" fillId="11" borderId="9" xfId="0" applyFont="1" applyFill="1" applyBorder="1" applyAlignment="1">
      <alignment horizontal="justify" vertical="center" wrapText="1"/>
    </xf>
    <xf numFmtId="0" fontId="54" fillId="8" borderId="0" xfId="0" applyFont="1" applyFill="1" applyAlignment="1">
      <alignment horizontal="left" vertical="center" wrapText="1"/>
    </xf>
    <xf numFmtId="0" fontId="54" fillId="8" borderId="12" xfId="0" applyFont="1" applyFill="1" applyBorder="1" applyAlignment="1">
      <alignment horizontal="left" vertical="center" wrapText="1"/>
    </xf>
    <xf numFmtId="0" fontId="2" fillId="0" borderId="0" xfId="0" applyFont="1" applyAlignment="1" applyProtection="1">
      <alignment horizontal="center" vertical="center"/>
      <protection locked="0"/>
    </xf>
    <xf numFmtId="0" fontId="0" fillId="0" borderId="0" xfId="0"/>
    <xf numFmtId="0" fontId="32" fillId="22" borderId="7" xfId="0" applyFont="1" applyFill="1" applyBorder="1" applyAlignment="1">
      <alignment vertical="center" wrapText="1"/>
    </xf>
    <xf numFmtId="0" fontId="32" fillId="22" borderId="8" xfId="0" applyFont="1" applyFill="1" applyBorder="1" applyAlignment="1">
      <alignment vertical="center" wrapText="1"/>
    </xf>
    <xf numFmtId="0" fontId="32" fillId="22" borderId="9" xfId="0" applyFont="1" applyFill="1" applyBorder="1" applyAlignment="1">
      <alignment vertical="center" wrapText="1"/>
    </xf>
    <xf numFmtId="0" fontId="2" fillId="23" borderId="10" xfId="0" applyFont="1" applyFill="1" applyBorder="1" applyAlignment="1">
      <alignment vertical="center"/>
    </xf>
    <xf numFmtId="0" fontId="2" fillId="23" borderId="11" xfId="0" applyFont="1" applyFill="1" applyBorder="1" applyAlignment="1">
      <alignment vertical="center"/>
    </xf>
    <xf numFmtId="0" fontId="2" fillId="23" borderId="13" xfId="0" applyFont="1" applyFill="1" applyBorder="1" applyAlignment="1">
      <alignment vertical="center"/>
    </xf>
    <xf numFmtId="0" fontId="2" fillId="8" borderId="5" xfId="0" applyFont="1" applyFill="1" applyBorder="1" applyAlignment="1">
      <alignment vertical="center"/>
    </xf>
    <xf numFmtId="0" fontId="2" fillId="8" borderId="6" xfId="0" applyFont="1" applyFill="1" applyBorder="1" applyAlignment="1">
      <alignment vertical="center"/>
    </xf>
    <xf numFmtId="0" fontId="34" fillId="0" borderId="0" xfId="0" applyFont="1" applyAlignment="1">
      <alignment horizontal="center"/>
    </xf>
    <xf numFmtId="0" fontId="33" fillId="8" borderId="10" xfId="0" applyFont="1" applyFill="1" applyBorder="1" applyAlignment="1">
      <alignment horizontal="left" vertical="center"/>
    </xf>
    <xf numFmtId="0" fontId="33" fillId="8" borderId="11" xfId="0" applyFont="1" applyFill="1" applyBorder="1" applyAlignment="1">
      <alignment horizontal="left" vertical="center"/>
    </xf>
    <xf numFmtId="0" fontId="33" fillId="8" borderId="13" xfId="0" applyFont="1" applyFill="1" applyBorder="1" applyAlignment="1">
      <alignment horizontal="left" vertical="center"/>
    </xf>
    <xf numFmtId="0" fontId="2" fillId="0" borderId="0" xfId="0" applyFont="1" applyAlignment="1">
      <alignment horizontal="left" wrapText="1"/>
    </xf>
    <xf numFmtId="0" fontId="38" fillId="0" borderId="0" xfId="0" applyFont="1" applyAlignment="1">
      <alignment horizontal="center" vertical="center"/>
    </xf>
    <xf numFmtId="0" fontId="33" fillId="8" borderId="5" xfId="0" applyFont="1" applyFill="1" applyBorder="1" applyAlignment="1">
      <alignment horizontal="left" vertical="center"/>
    </xf>
    <xf numFmtId="0" fontId="33" fillId="8" borderId="6" xfId="0" applyFont="1" applyFill="1" applyBorder="1" applyAlignment="1">
      <alignment horizontal="left" vertical="center"/>
    </xf>
    <xf numFmtId="0" fontId="2" fillId="0" borderId="0" xfId="0" applyFont="1"/>
    <xf numFmtId="0" fontId="2" fillId="8" borderId="12" xfId="0" applyFont="1" applyFill="1" applyBorder="1" applyAlignment="1">
      <alignment vertical="center"/>
    </xf>
    <xf numFmtId="0" fontId="2" fillId="0" borderId="0" xfId="0" applyFont="1" applyAlignment="1">
      <alignment vertical="center"/>
    </xf>
    <xf numFmtId="0" fontId="2" fillId="0" borderId="12" xfId="0" applyFont="1" applyBorder="1" applyAlignment="1">
      <alignment vertical="center"/>
    </xf>
    <xf numFmtId="0" fontId="43" fillId="4" borderId="7" xfId="0" applyFont="1" applyFill="1" applyBorder="1" applyAlignment="1" applyProtection="1">
      <alignment horizontal="left" vertical="center"/>
      <protection locked="0"/>
    </xf>
    <xf numFmtId="0" fontId="43" fillId="4" borderId="8" xfId="0" applyFont="1" applyFill="1" applyBorder="1" applyAlignment="1" applyProtection="1">
      <alignment horizontal="left" vertical="center"/>
      <protection locked="0"/>
    </xf>
    <xf numFmtId="0" fontId="43" fillId="4" borderId="9" xfId="0" applyFont="1" applyFill="1" applyBorder="1" applyAlignment="1" applyProtection="1">
      <alignment horizontal="left" vertical="center"/>
      <protection locked="0"/>
    </xf>
    <xf numFmtId="0" fontId="2" fillId="22" borderId="0" xfId="0" applyFont="1" applyFill="1" applyAlignment="1">
      <alignment horizontal="center" vertical="center" wrapText="1"/>
    </xf>
    <xf numFmtId="0" fontId="0" fillId="22" borderId="0" xfId="0" applyFill="1" applyAlignment="1">
      <alignment vertical="center" wrapText="1"/>
    </xf>
    <xf numFmtId="0" fontId="0" fillId="22" borderId="0" xfId="0" applyFill="1" applyAlignment="1">
      <alignment horizontal="center" vertical="center" wrapText="1"/>
    </xf>
    <xf numFmtId="0" fontId="28" fillId="0" borderId="0" xfId="0" applyFont="1" applyAlignment="1">
      <alignment horizontal="left" vertical="center" wrapText="1"/>
    </xf>
    <xf numFmtId="0" fontId="32" fillId="17" borderId="0" xfId="0" applyFont="1" applyFill="1" applyAlignment="1">
      <alignment horizontal="left" vertical="center"/>
    </xf>
    <xf numFmtId="0" fontId="2" fillId="26" borderId="10" xfId="0" applyFont="1" applyFill="1" applyBorder="1" applyAlignment="1">
      <alignment vertical="center"/>
    </xf>
    <xf numFmtId="0" fontId="2" fillId="26" borderId="11" xfId="0" applyFont="1" applyFill="1" applyBorder="1" applyAlignment="1">
      <alignment vertical="center"/>
    </xf>
    <xf numFmtId="0" fontId="2" fillId="26" borderId="13" xfId="0" applyFont="1" applyFill="1" applyBorder="1" applyAlignment="1">
      <alignment vertical="center"/>
    </xf>
    <xf numFmtId="0" fontId="32" fillId="25" borderId="7" xfId="0" applyFont="1" applyFill="1" applyBorder="1" applyAlignment="1">
      <alignment horizontal="center" vertical="center" wrapText="1"/>
    </xf>
    <xf numFmtId="0" fontId="32" fillId="25" borderId="8" xfId="0" applyFont="1" applyFill="1" applyBorder="1" applyAlignment="1">
      <alignment horizontal="center" vertical="center" wrapText="1"/>
    </xf>
    <xf numFmtId="0" fontId="32" fillId="25" borderId="9" xfId="0" applyFont="1" applyFill="1" applyBorder="1" applyAlignment="1">
      <alignment horizontal="center" vertical="center" wrapText="1"/>
    </xf>
    <xf numFmtId="0" fontId="66" fillId="4" borderId="0" xfId="1" applyFont="1" applyFill="1" applyAlignment="1" applyProtection="1">
      <alignment horizontal="left" vertical="center"/>
      <protection locked="0"/>
    </xf>
    <xf numFmtId="0" fontId="12" fillId="0" borderId="0" xfId="0" applyFont="1" applyAlignment="1">
      <alignment horizontal="left" vertical="center" wrapText="1"/>
    </xf>
    <xf numFmtId="0" fontId="26" fillId="0" borderId="0" xfId="0" applyFont="1" applyAlignment="1">
      <alignment vertical="center" wrapText="1"/>
    </xf>
    <xf numFmtId="0" fontId="32" fillId="12" borderId="7" xfId="0" applyFont="1" applyFill="1" applyBorder="1" applyAlignment="1">
      <alignment horizontal="center" vertical="center"/>
    </xf>
    <xf numFmtId="0" fontId="32" fillId="12" borderId="8" xfId="0" applyFont="1" applyFill="1" applyBorder="1" applyAlignment="1">
      <alignment horizontal="center" vertical="center"/>
    </xf>
    <xf numFmtId="0" fontId="32" fillId="12" borderId="13" xfId="0" applyFont="1" applyFill="1" applyBorder="1" applyAlignment="1">
      <alignment horizontal="center" vertical="center"/>
    </xf>
    <xf numFmtId="0" fontId="34" fillId="22" borderId="5" xfId="0" applyFont="1" applyFill="1" applyBorder="1" applyAlignment="1">
      <alignment horizontal="justify" vertical="center" wrapText="1"/>
    </xf>
    <xf numFmtId="0" fontId="34" fillId="22" borderId="6" xfId="0" applyFont="1" applyFill="1" applyBorder="1" applyAlignment="1">
      <alignment horizontal="justify" vertical="center" wrapText="1"/>
    </xf>
    <xf numFmtId="0" fontId="34" fillId="22" borderId="14" xfId="0" applyFont="1" applyFill="1" applyBorder="1" applyAlignment="1">
      <alignment horizontal="justify" vertical="center" wrapText="1"/>
    </xf>
    <xf numFmtId="0" fontId="26" fillId="8" borderId="5" xfId="0" applyFont="1" applyFill="1" applyBorder="1" applyAlignment="1">
      <alignment vertical="center" wrapText="1"/>
    </xf>
    <xf numFmtId="0" fontId="26" fillId="8" borderId="6" xfId="0" applyFont="1" applyFill="1" applyBorder="1" applyAlignment="1">
      <alignment vertical="center" wrapText="1"/>
    </xf>
    <xf numFmtId="0" fontId="26" fillId="8" borderId="14" xfId="0" applyFont="1" applyFill="1" applyBorder="1" applyAlignment="1">
      <alignment vertical="center" wrapText="1"/>
    </xf>
    <xf numFmtId="0" fontId="34" fillId="14" borderId="5" xfId="0" applyFont="1" applyFill="1" applyBorder="1" applyAlignment="1">
      <alignment horizontal="justify" vertical="center" wrapText="1"/>
    </xf>
    <xf numFmtId="0" fontId="24" fillId="14" borderId="6" xfId="0" applyFont="1" applyFill="1" applyBorder="1" applyAlignment="1">
      <alignment horizontal="justify" vertical="center" wrapText="1"/>
    </xf>
    <xf numFmtId="0" fontId="24" fillId="14" borderId="14" xfId="0" applyFont="1" applyFill="1" applyBorder="1" applyAlignment="1">
      <alignment horizontal="justify" vertical="center" wrapText="1"/>
    </xf>
    <xf numFmtId="0" fontId="32" fillId="13" borderId="7" xfId="0" applyFont="1" applyFill="1" applyBorder="1" applyAlignment="1">
      <alignment horizontal="center" vertical="center" wrapText="1"/>
    </xf>
    <xf numFmtId="0" fontId="32" fillId="13" borderId="8" xfId="0" applyFont="1" applyFill="1" applyBorder="1" applyAlignment="1">
      <alignment horizontal="center" vertical="center" wrapText="1"/>
    </xf>
    <xf numFmtId="0" fontId="32" fillId="13" borderId="9" xfId="0" applyFont="1" applyFill="1" applyBorder="1" applyAlignment="1">
      <alignment horizontal="center" vertical="center" wrapText="1"/>
    </xf>
    <xf numFmtId="0" fontId="26" fillId="26" borderId="3" xfId="0" applyFont="1" applyFill="1" applyBorder="1" applyAlignment="1">
      <alignment horizontal="left" vertical="center" wrapText="1"/>
    </xf>
    <xf numFmtId="0" fontId="2" fillId="26" borderId="0" xfId="0" applyFont="1" applyFill="1" applyAlignment="1">
      <alignment horizontal="left" vertical="center"/>
    </xf>
    <xf numFmtId="0" fontId="17" fillId="0" borderId="0" xfId="0" applyFont="1" applyAlignment="1">
      <alignment vertical="center" wrapText="1"/>
    </xf>
    <xf numFmtId="0" fontId="38" fillId="8" borderId="0" xfId="0" applyFont="1" applyFill="1" applyAlignment="1">
      <alignment horizontal="center" vertical="center"/>
    </xf>
    <xf numFmtId="0" fontId="8" fillId="8" borderId="0" xfId="0" applyFont="1" applyFill="1" applyAlignment="1" applyProtection="1">
      <alignment horizontal="center" vertical="center"/>
      <protection locked="0"/>
    </xf>
    <xf numFmtId="0" fontId="7" fillId="7" borderId="0" xfId="0" applyFont="1" applyFill="1" applyAlignment="1">
      <alignment horizontal="center" vertical="center" wrapText="1"/>
    </xf>
    <xf numFmtId="0" fontId="68" fillId="2" borderId="0" xfId="0" applyFont="1" applyFill="1" applyAlignment="1">
      <alignment horizontal="justify" vertical="center" wrapText="1"/>
    </xf>
    <xf numFmtId="0" fontId="2" fillId="0" borderId="3" xfId="0" applyFont="1" applyBorder="1" applyAlignment="1">
      <alignment horizontal="right" vertical="center"/>
    </xf>
    <xf numFmtId="0" fontId="2" fillId="0" borderId="12" xfId="0" applyFont="1" applyBorder="1" applyAlignment="1">
      <alignment horizontal="right" vertical="center"/>
    </xf>
    <xf numFmtId="0" fontId="63" fillId="0" borderId="0" xfId="0" applyFont="1" applyAlignment="1">
      <alignment horizontal="center"/>
    </xf>
    <xf numFmtId="0" fontId="32" fillId="12" borderId="0" xfId="0" applyFont="1" applyFill="1" applyAlignment="1">
      <alignment horizontal="center" vertical="center"/>
    </xf>
    <xf numFmtId="0" fontId="32" fillId="12" borderId="12" xfId="0" applyFont="1" applyFill="1" applyBorder="1" applyAlignment="1">
      <alignment horizontal="center" vertical="center"/>
    </xf>
    <xf numFmtId="0" fontId="23" fillId="2" borderId="0" xfId="0" applyFont="1" applyFill="1" applyAlignment="1">
      <alignment horizontal="center" vertical="center" wrapText="1"/>
    </xf>
    <xf numFmtId="0" fontId="18" fillId="2" borderId="0" xfId="0" applyFont="1" applyFill="1" applyAlignment="1">
      <alignment horizontal="center" vertical="center" wrapText="1"/>
    </xf>
    <xf numFmtId="0" fontId="43" fillId="4" borderId="1" xfId="0" applyFont="1" applyFill="1" applyBorder="1" applyAlignment="1" applyProtection="1">
      <alignment horizontal="left" vertical="center"/>
      <protection locked="0"/>
    </xf>
    <xf numFmtId="0" fontId="16" fillId="0" borderId="3" xfId="0" applyFont="1" applyBorder="1" applyAlignment="1">
      <alignment horizontal="center" vertical="center" wrapText="1"/>
    </xf>
    <xf numFmtId="0" fontId="16" fillId="0" borderId="0" xfId="0" applyFont="1" applyAlignment="1">
      <alignment horizontal="center" vertical="center" wrapText="1"/>
    </xf>
    <xf numFmtId="0" fontId="43" fillId="4" borderId="0" xfId="0" applyFont="1" applyFill="1" applyAlignment="1" applyProtection="1">
      <alignment horizontal="center" vertical="center"/>
      <protection locked="0"/>
    </xf>
    <xf numFmtId="0" fontId="20" fillId="9" borderId="0" xfId="0" applyFont="1" applyFill="1" applyAlignment="1">
      <alignment horizontal="right" vertical="center" wrapText="1"/>
    </xf>
    <xf numFmtId="0" fontId="6" fillId="9" borderId="0" xfId="1" applyFill="1" applyAlignment="1" applyProtection="1">
      <alignment horizontal="left" vertical="center" wrapText="1"/>
      <protection locked="0"/>
    </xf>
    <xf numFmtId="0" fontId="26" fillId="24" borderId="3" xfId="0" applyFont="1" applyFill="1" applyBorder="1" applyAlignment="1">
      <alignment vertical="center" wrapText="1"/>
    </xf>
    <xf numFmtId="0" fontId="2" fillId="24" borderId="0" xfId="0" applyFont="1" applyFill="1" applyAlignment="1">
      <alignment vertical="center" wrapText="1"/>
    </xf>
    <xf numFmtId="0" fontId="2" fillId="24" borderId="12" xfId="0" applyFont="1" applyFill="1" applyBorder="1" applyAlignment="1">
      <alignment vertical="center" wrapText="1"/>
    </xf>
    <xf numFmtId="0" fontId="32" fillId="0" borderId="0" xfId="0" applyFont="1" applyAlignment="1" applyProtection="1">
      <alignment horizontal="center" vertical="center"/>
      <protection locked="0"/>
    </xf>
    <xf numFmtId="0" fontId="2" fillId="8" borderId="17" xfId="0" applyFont="1" applyFill="1" applyBorder="1" applyAlignment="1">
      <alignment vertical="center" wrapText="1"/>
    </xf>
    <xf numFmtId="0" fontId="2" fillId="8" borderId="18" xfId="0" applyFont="1" applyFill="1" applyBorder="1" applyAlignment="1">
      <alignment vertical="center"/>
    </xf>
    <xf numFmtId="0" fontId="2" fillId="8" borderId="19" xfId="0" applyFont="1" applyFill="1" applyBorder="1" applyAlignment="1">
      <alignment vertical="center"/>
    </xf>
    <xf numFmtId="0" fontId="2" fillId="27" borderId="21" xfId="0" applyFont="1" applyFill="1" applyBorder="1" applyAlignment="1">
      <alignment vertical="center"/>
    </xf>
    <xf numFmtId="0" fontId="2" fillId="27" borderId="22" xfId="0" applyFont="1" applyFill="1" applyBorder="1" applyAlignment="1">
      <alignment vertical="center"/>
    </xf>
    <xf numFmtId="0" fontId="2" fillId="27" borderId="23" xfId="0" applyFont="1" applyFill="1" applyBorder="1" applyAlignment="1">
      <alignment vertical="center"/>
    </xf>
    <xf numFmtId="0" fontId="0" fillId="0" borderId="0" xfId="0" applyAlignment="1">
      <alignment vertical="center"/>
    </xf>
    <xf numFmtId="0" fontId="2" fillId="16" borderId="21" xfId="0" applyFont="1" applyFill="1" applyBorder="1" applyAlignment="1">
      <alignment horizontal="center" vertical="center" wrapText="1"/>
    </xf>
    <xf numFmtId="0" fontId="2" fillId="16" borderId="22" xfId="0" applyFont="1" applyFill="1" applyBorder="1" applyAlignment="1">
      <alignment horizontal="center" vertical="center" wrapText="1"/>
    </xf>
    <xf numFmtId="0" fontId="2" fillId="16" borderId="23" xfId="0" applyFont="1" applyFill="1" applyBorder="1" applyAlignment="1">
      <alignment horizontal="center" vertical="center" wrapText="1"/>
    </xf>
    <xf numFmtId="0" fontId="26" fillId="8" borderId="0" xfId="0" applyFont="1" applyFill="1" applyAlignment="1">
      <alignment horizontal="center" vertical="center" wrapText="1"/>
    </xf>
    <xf numFmtId="0" fontId="17" fillId="21" borderId="0" xfId="0" applyFont="1" applyFill="1" applyAlignment="1">
      <alignment vertical="top" wrapText="1"/>
    </xf>
    <xf numFmtId="0" fontId="56" fillId="8" borderId="0" xfId="0" applyFont="1" applyFill="1" applyAlignment="1">
      <alignment horizontal="center" vertical="center" wrapText="1"/>
    </xf>
    <xf numFmtId="0" fontId="26" fillId="23" borderId="3" xfId="0" applyFont="1" applyFill="1" applyBorder="1" applyAlignment="1">
      <alignment horizontal="left" vertical="center" wrapText="1"/>
    </xf>
    <xf numFmtId="0" fontId="2" fillId="23" borderId="0" xfId="0" applyFont="1" applyFill="1" applyAlignment="1">
      <alignment horizontal="left" vertical="center"/>
    </xf>
    <xf numFmtId="0" fontId="54" fillId="26" borderId="6" xfId="0" applyFont="1" applyFill="1" applyBorder="1" applyAlignment="1">
      <alignment vertical="center" wrapText="1"/>
    </xf>
    <xf numFmtId="0" fontId="54" fillId="26" borderId="14" xfId="0" applyFont="1" applyFill="1" applyBorder="1" applyAlignment="1">
      <alignment vertical="center" wrapText="1"/>
    </xf>
    <xf numFmtId="0" fontId="34" fillId="26" borderId="5" xfId="0" applyFont="1" applyFill="1" applyBorder="1" applyAlignment="1">
      <alignment horizontal="justify" vertical="center" wrapText="1"/>
    </xf>
    <xf numFmtId="0" fontId="24" fillId="26" borderId="6" xfId="0" applyFont="1" applyFill="1" applyBorder="1" applyAlignment="1">
      <alignment horizontal="justify" vertical="center" wrapText="1"/>
    </xf>
    <xf numFmtId="0" fontId="24" fillId="26" borderId="14" xfId="0" applyFont="1" applyFill="1" applyBorder="1" applyAlignment="1">
      <alignment horizontal="justify" vertical="center" wrapText="1"/>
    </xf>
    <xf numFmtId="0" fontId="54" fillId="23" borderId="6" xfId="0" applyFont="1" applyFill="1" applyBorder="1" applyAlignment="1">
      <alignment vertical="center" wrapText="1"/>
    </xf>
    <xf numFmtId="0" fontId="54" fillId="23" borderId="14" xfId="0" applyFont="1" applyFill="1" applyBorder="1" applyAlignment="1">
      <alignment vertical="center" wrapText="1"/>
    </xf>
    <xf numFmtId="0" fontId="32" fillId="0" borderId="0" xfId="0" applyFont="1" applyAlignment="1" applyProtection="1">
      <alignment vertical="center"/>
      <protection locked="0"/>
    </xf>
    <xf numFmtId="0" fontId="2" fillId="8" borderId="0" xfId="0" applyFont="1" applyFill="1" applyAlignment="1">
      <alignment horizontal="center" vertical="center" wrapText="1"/>
    </xf>
    <xf numFmtId="0" fontId="2" fillId="3" borderId="3" xfId="0" applyFont="1" applyFill="1" applyBorder="1" applyAlignment="1">
      <alignment vertical="center"/>
    </xf>
    <xf numFmtId="0" fontId="26" fillId="8" borderId="0" xfId="0" applyFont="1" applyFill="1" applyAlignment="1">
      <alignment vertical="center" wrapText="1"/>
    </xf>
    <xf numFmtId="0" fontId="2" fillId="3" borderId="5" xfId="0" applyFont="1" applyFill="1" applyBorder="1" applyAlignment="1">
      <alignment horizontal="justify" vertical="center" wrapText="1"/>
    </xf>
    <xf numFmtId="0" fontId="24" fillId="3" borderId="6" xfId="0" applyFont="1" applyFill="1" applyBorder="1" applyAlignment="1">
      <alignment horizontal="justify" vertical="center" wrapText="1"/>
    </xf>
    <xf numFmtId="0" fontId="24" fillId="3" borderId="14" xfId="0" applyFont="1" applyFill="1" applyBorder="1" applyAlignment="1">
      <alignment horizontal="justify" vertical="center" wrapText="1"/>
    </xf>
    <xf numFmtId="0" fontId="32" fillId="27" borderId="7" xfId="0" applyFont="1" applyFill="1" applyBorder="1" applyAlignment="1">
      <alignment horizontal="center" vertical="center" wrapText="1"/>
    </xf>
    <xf numFmtId="0" fontId="32" fillId="27" borderId="8" xfId="0" applyFont="1" applyFill="1" applyBorder="1" applyAlignment="1">
      <alignment horizontal="center" vertical="center" wrapText="1"/>
    </xf>
    <xf numFmtId="0" fontId="32" fillId="27" borderId="9" xfId="0" applyFont="1" applyFill="1" applyBorder="1" applyAlignment="1">
      <alignment horizontal="center" vertical="center" wrapText="1"/>
    </xf>
    <xf numFmtId="0" fontId="2" fillId="6" borderId="3" xfId="0" applyFont="1" applyFill="1" applyBorder="1" applyAlignment="1">
      <alignment horizontal="justify" vertical="center" wrapText="1"/>
    </xf>
    <xf numFmtId="0" fontId="24" fillId="6" borderId="0" xfId="0" applyFont="1" applyFill="1" applyAlignment="1">
      <alignment horizontal="justify" vertical="center" wrapText="1"/>
    </xf>
    <xf numFmtId="0" fontId="24" fillId="6" borderId="12" xfId="0" applyFont="1" applyFill="1" applyBorder="1" applyAlignment="1">
      <alignment horizontal="justify" vertical="center" wrapText="1"/>
    </xf>
    <xf numFmtId="0" fontId="2" fillId="8" borderId="7" xfId="0" applyFont="1" applyFill="1" applyBorder="1" applyAlignment="1">
      <alignment horizontal="left" vertical="center"/>
    </xf>
    <xf numFmtId="0" fontId="2" fillId="8" borderId="8" xfId="0" applyFont="1" applyFill="1" applyBorder="1" applyAlignment="1">
      <alignment horizontal="left" vertical="center"/>
    </xf>
    <xf numFmtId="0" fontId="2" fillId="8" borderId="9" xfId="0" applyFont="1" applyFill="1" applyBorder="1" applyAlignment="1">
      <alignment horizontal="left" vertical="center"/>
    </xf>
    <xf numFmtId="0" fontId="17" fillId="0" borderId="3" xfId="0" applyFont="1" applyBorder="1"/>
    <xf numFmtId="0" fontId="17" fillId="0" borderId="0" xfId="0" applyFont="1"/>
    <xf numFmtId="0" fontId="48" fillId="0" borderId="0" xfId="1" applyFont="1" applyAlignment="1" applyProtection="1">
      <alignment wrapText="1"/>
      <protection locked="0"/>
    </xf>
    <xf numFmtId="0" fontId="0" fillId="0" borderId="0" xfId="0" applyAlignment="1" applyProtection="1">
      <alignment wrapText="1"/>
      <protection locked="0"/>
    </xf>
    <xf numFmtId="0" fontId="0" fillId="0" borderId="0" xfId="0" applyAlignment="1">
      <alignment vertical="top" wrapText="1"/>
    </xf>
    <xf numFmtId="0" fontId="48" fillId="0" borderId="0" xfId="1" applyFont="1" applyAlignment="1" applyProtection="1">
      <alignment vertical="center" wrapText="1"/>
      <protection locked="0"/>
    </xf>
    <xf numFmtId="0" fontId="2" fillId="0" borderId="0" xfId="0" applyFont="1" applyAlignment="1">
      <alignment vertical="top" wrapText="1"/>
    </xf>
    <xf numFmtId="0" fontId="34" fillId="0" borderId="0" xfId="0" applyFont="1" applyAlignment="1">
      <alignment vertical="center" wrapText="1"/>
    </xf>
    <xf numFmtId="0" fontId="2" fillId="0" borderId="0" xfId="0" applyFont="1" applyAlignment="1" applyProtection="1">
      <alignment horizontal="center" vertical="top" wrapText="1"/>
      <protection locked="0"/>
    </xf>
    <xf numFmtId="0" fontId="65" fillId="0" borderId="0" xfId="0" applyFont="1"/>
    <xf numFmtId="0" fontId="57" fillId="0" borderId="0" xfId="0" applyFont="1" applyAlignment="1">
      <alignment horizontal="left"/>
    </xf>
    <xf numFmtId="0" fontId="8" fillId="4" borderId="1" xfId="0" applyFont="1" applyFill="1" applyBorder="1" applyProtection="1">
      <protection locked="0"/>
    </xf>
    <xf numFmtId="0" fontId="61" fillId="6" borderId="0" xfId="0" applyFont="1" applyFill="1" applyAlignment="1">
      <alignment horizontal="justify" vertical="center" wrapText="1"/>
    </xf>
    <xf numFmtId="0" fontId="2" fillId="3" borderId="0" xfId="0" applyFont="1" applyFill="1" applyAlignment="1">
      <alignment vertical="center" wrapText="1"/>
    </xf>
    <xf numFmtId="0" fontId="2" fillId="3" borderId="12" xfId="0" applyFont="1" applyFill="1" applyBorder="1" applyAlignment="1">
      <alignment vertical="center" wrapText="1"/>
    </xf>
    <xf numFmtId="0" fontId="24" fillId="21" borderId="0" xfId="0" applyFont="1" applyFill="1" applyAlignment="1">
      <alignment horizontal="justify" vertical="center" wrapText="1"/>
    </xf>
    <xf numFmtId="0" fontId="32" fillId="18" borderId="7" xfId="0" applyFont="1" applyFill="1" applyBorder="1" applyAlignment="1">
      <alignment horizontal="left" vertical="center" wrapText="1"/>
    </xf>
    <xf numFmtId="0" fontId="32" fillId="18" borderId="8" xfId="0" applyFont="1" applyFill="1" applyBorder="1" applyAlignment="1">
      <alignment horizontal="left" vertical="center" wrapText="1"/>
    </xf>
    <xf numFmtId="0" fontId="32" fillId="18" borderId="9" xfId="0" applyFont="1" applyFill="1" applyBorder="1" applyAlignment="1">
      <alignment horizontal="left" vertical="center" wrapText="1"/>
    </xf>
    <xf numFmtId="0" fontId="32" fillId="6" borderId="0" xfId="0" applyFont="1" applyFill="1" applyAlignment="1">
      <alignment horizontal="left" vertical="center" wrapText="1"/>
    </xf>
    <xf numFmtId="0" fontId="32" fillId="6" borderId="12" xfId="0" applyFont="1" applyFill="1" applyBorder="1" applyAlignment="1">
      <alignment horizontal="left" vertical="center" wrapText="1"/>
    </xf>
  </cellXfs>
  <cellStyles count="3">
    <cellStyle name="Hyperlink" xfId="1" builtinId="8"/>
    <cellStyle name="Normal" xfId="0" builtinId="0"/>
    <cellStyle name="Percent" xfId="2" builtinId="5"/>
  </cellStyles>
  <dxfs count="713">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FFC7CE"/>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0070C0"/>
      </font>
      <fill>
        <patternFill>
          <bgColor rgb="FF92D050"/>
        </patternFill>
      </fill>
      <border>
        <left style="thin">
          <color auto="1"/>
        </left>
        <right style="thin">
          <color auto="1"/>
        </right>
        <top style="thin">
          <color auto="1"/>
        </top>
        <bottom style="thin">
          <color auto="1"/>
        </bottom>
        <vertical/>
        <horizontal/>
      </border>
    </dxf>
    <dxf>
      <fill>
        <patternFill>
          <bgColor rgb="FFFFC7CE"/>
        </patternFill>
      </fill>
      <border>
        <left style="thin">
          <color auto="1"/>
        </left>
        <right style="thin">
          <color auto="1"/>
        </right>
        <top style="thin">
          <color auto="1"/>
        </top>
        <bottom style="thin">
          <color auto="1"/>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C7CE"/>
        </patternFill>
      </fill>
    </dxf>
    <dxf>
      <fill>
        <patternFill>
          <bgColor rgb="FF92D050"/>
        </patternFill>
      </fill>
    </dxf>
    <dxf>
      <border>
        <left style="thin">
          <color auto="1"/>
        </left>
        <right style="thin">
          <color auto="1"/>
        </right>
        <top style="thin">
          <color auto="1"/>
        </top>
        <bottom style="thin">
          <color auto="1"/>
        </bottom>
        <vertical/>
        <horizontal/>
      </border>
    </dxf>
    <dxf>
      <fill>
        <patternFill>
          <bgColor rgb="FFFFFF00"/>
        </patternFill>
      </fill>
    </dxf>
    <dxf>
      <fill>
        <patternFill>
          <bgColor rgb="FFFFFF00"/>
        </patternFill>
      </fill>
    </dxf>
    <dxf>
      <font>
        <b/>
        <i val="0"/>
        <color theme="0"/>
      </font>
      <fill>
        <patternFill>
          <bgColor rgb="FF0070C0"/>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rgb="FF0070C0"/>
      </font>
      <fill>
        <patternFill>
          <bgColor theme="7" tint="0.79998168889431442"/>
        </patternFill>
      </fill>
    </dxf>
    <dxf>
      <fill>
        <patternFill>
          <bgColor rgb="FF266196"/>
        </patternFill>
      </fill>
    </dxf>
    <dxf>
      <font>
        <color rgb="FF0070C0"/>
      </font>
      <fill>
        <patternFill>
          <bgColor theme="5" tint="0.79998168889431442"/>
        </patternFill>
      </fill>
      <border>
        <left/>
        <right/>
        <top/>
        <bottom/>
      </border>
    </dxf>
    <dxf>
      <font>
        <b/>
        <i val="0"/>
        <color theme="0"/>
      </font>
      <fill>
        <patternFill>
          <bgColor rgb="FF0070C0"/>
        </patternFill>
      </fill>
    </dxf>
    <dxf>
      <font>
        <b/>
        <i val="0"/>
        <color theme="0"/>
      </font>
      <fill>
        <patternFill>
          <bgColor rgb="FF0070C0"/>
        </patternFill>
      </fill>
    </dxf>
    <dxf>
      <font>
        <b/>
        <i val="0"/>
        <color theme="0"/>
      </font>
      <fill>
        <patternFill>
          <bgColor rgb="FF0070C0"/>
        </patternFill>
      </fill>
    </dxf>
    <dxf>
      <fill>
        <patternFill>
          <bgColor rgb="FF92D050"/>
        </patternFill>
      </fill>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b/>
        <i val="0"/>
        <color theme="0"/>
      </font>
      <fill>
        <patternFill>
          <bgColor rgb="FF0070C0"/>
        </patternFill>
      </fill>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rgb="FFECDFF5"/>
        </patternFill>
      </fill>
      <border>
        <left style="thin">
          <color auto="1"/>
        </left>
        <right style="thin">
          <color auto="1"/>
        </right>
        <top style="thin">
          <color auto="1"/>
        </top>
        <bottom style="thin">
          <color auto="1"/>
        </bottom>
        <vertical/>
        <horizontal/>
      </border>
    </dxf>
    <dxf>
      <font>
        <color rgb="FFC00000"/>
      </font>
      <fill>
        <patternFill>
          <bgColor rgb="FFFFFF00"/>
        </patternFill>
      </fill>
    </dxf>
    <dxf>
      <fill>
        <patternFill>
          <bgColor theme="7" tint="0.59996337778862885"/>
        </patternFill>
      </fill>
    </dxf>
    <dxf>
      <fill>
        <patternFill>
          <bgColor theme="7" tint="0.59996337778862885"/>
        </patternFill>
      </fill>
      <border>
        <left/>
        <right/>
        <top/>
        <bottom/>
        <vertical/>
        <horizontal/>
      </border>
    </dxf>
    <dxf>
      <font>
        <b/>
        <i val="0"/>
        <color theme="0"/>
      </font>
      <fill>
        <patternFill>
          <bgColor rgb="FF0070C0"/>
        </patternFill>
      </fill>
    </dxf>
    <dxf>
      <font>
        <b/>
        <i val="0"/>
        <color theme="0"/>
      </font>
      <fill>
        <patternFill>
          <bgColor rgb="FF0070C0"/>
        </patternFill>
      </fill>
    </dxf>
    <dxf>
      <font>
        <b/>
        <i val="0"/>
        <color theme="0"/>
      </font>
      <fill>
        <patternFill>
          <bgColor rgb="FF0070C0"/>
        </patternFill>
      </fill>
    </dxf>
    <dxf>
      <font>
        <b/>
        <i val="0"/>
        <color theme="0"/>
      </font>
      <fill>
        <patternFill>
          <bgColor rgb="FF0070C0"/>
        </patternFill>
      </fill>
    </dxf>
    <dxf>
      <fill>
        <patternFill>
          <bgColor rgb="FFE8DAFA"/>
        </patternFill>
      </fill>
    </dxf>
    <dxf>
      <fill>
        <patternFill>
          <bgColor rgb="FFFFF0C5"/>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b val="0"/>
        <i val="0"/>
        <color rgb="FFC00000"/>
      </font>
      <fill>
        <patternFill>
          <bgColor rgb="FFFFFF00"/>
        </patternFill>
      </fill>
    </dxf>
    <dxf>
      <font>
        <color rgb="FFC00000"/>
      </font>
      <fill>
        <patternFill>
          <bgColor rgb="FFFFFF00"/>
        </patternFill>
      </fill>
    </dxf>
    <dxf>
      <font>
        <color rgb="FFC00000"/>
      </font>
      <fill>
        <patternFill>
          <bgColor rgb="FFFFFF00"/>
        </patternFill>
      </fill>
    </dxf>
    <dxf>
      <font>
        <b val="0"/>
        <i val="0"/>
        <color rgb="FFC00000"/>
      </font>
      <fill>
        <patternFill>
          <bgColor rgb="FFFFFF00"/>
        </patternFill>
      </fill>
    </dxf>
    <dxf>
      <font>
        <color rgb="FFC00000"/>
      </font>
      <fill>
        <patternFill>
          <bgColor rgb="FFFFFF00"/>
        </patternFill>
      </fill>
    </dxf>
    <dxf>
      <font>
        <color rgb="FFC00000"/>
      </font>
      <fill>
        <patternFill>
          <bgColor rgb="FFFFFF00"/>
        </patternFill>
      </fill>
    </dxf>
    <dxf>
      <font>
        <b val="0"/>
        <i val="0"/>
        <color rgb="FFC00000"/>
      </font>
      <fill>
        <patternFill>
          <bgColor rgb="FFFFFF00"/>
        </patternFill>
      </fill>
    </dxf>
    <dxf>
      <font>
        <color rgb="FFC00000"/>
      </font>
      <fill>
        <patternFill>
          <bgColor rgb="FFFFFF00"/>
        </patternFill>
      </fill>
    </dxf>
    <dxf>
      <font>
        <b val="0"/>
        <i val="0"/>
        <color rgb="FFC00000"/>
      </font>
      <fill>
        <patternFill>
          <bgColor rgb="FFFFFF00"/>
        </patternFill>
      </fill>
    </dxf>
    <dxf>
      <font>
        <color rgb="FFC00000"/>
      </font>
      <fill>
        <patternFill>
          <bgColor rgb="FFFFFF00"/>
        </patternFill>
      </fill>
    </dxf>
    <dxf>
      <font>
        <color rgb="FFC00000"/>
      </font>
      <fill>
        <patternFill>
          <bgColor rgb="FFFFFF00"/>
        </patternFill>
      </fill>
    </dxf>
    <dxf>
      <font>
        <b val="0"/>
        <i val="0"/>
        <color rgb="FFC00000"/>
      </font>
      <fill>
        <patternFill>
          <bgColor rgb="FFFFFF00"/>
        </patternFill>
      </fill>
    </dxf>
    <dxf>
      <font>
        <color rgb="FFC00000"/>
      </font>
      <fill>
        <patternFill>
          <bgColor rgb="FFFFFF00"/>
        </patternFill>
      </fill>
    </dxf>
    <dxf>
      <font>
        <color rgb="FFC00000"/>
      </font>
      <fill>
        <patternFill>
          <bgColor rgb="FFFFFF00"/>
        </patternFill>
      </fill>
    </dxf>
    <dxf>
      <font>
        <b val="0"/>
        <i val="0"/>
        <color rgb="FFC00000"/>
      </font>
      <fill>
        <patternFill>
          <bgColor rgb="FFFFFF00"/>
        </patternFill>
      </fill>
    </dxf>
    <dxf>
      <font>
        <color rgb="FFC00000"/>
      </font>
      <fill>
        <patternFill>
          <bgColor rgb="FFFFFF00"/>
        </patternFill>
      </fill>
    </dxf>
    <dxf>
      <font>
        <color rgb="FFC00000"/>
      </font>
      <fill>
        <patternFill>
          <bgColor rgb="FFFFFF00"/>
        </patternFill>
      </fill>
    </dxf>
    <dxf>
      <font>
        <b val="0"/>
        <i val="0"/>
        <color rgb="FFC00000"/>
      </font>
      <fill>
        <patternFill>
          <bgColor rgb="FFFFFF00"/>
        </patternFill>
      </fill>
    </dxf>
    <dxf>
      <font>
        <b val="0"/>
        <i val="0"/>
        <color rgb="FFC00000"/>
      </font>
      <fill>
        <patternFill>
          <bgColor rgb="FFFFFF00"/>
        </patternFill>
      </fill>
    </dxf>
    <dxf>
      <font>
        <b val="0"/>
        <i val="0"/>
        <color rgb="FFC00000"/>
      </font>
      <fill>
        <patternFill>
          <bgColor rgb="FFFFFF00"/>
        </patternFill>
      </fill>
    </dxf>
    <dxf>
      <font>
        <color rgb="FFC00000"/>
      </font>
      <fill>
        <patternFill>
          <bgColor rgb="FFFFFF00"/>
        </patternFill>
      </fill>
    </dxf>
    <dxf>
      <font>
        <color rgb="FFC00000"/>
      </font>
      <fill>
        <patternFill>
          <bgColor rgb="FFFFFF00"/>
        </patternFill>
      </fill>
    </dxf>
    <dxf>
      <font>
        <b val="0"/>
        <i val="0"/>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b/>
        <i val="0"/>
        <color theme="0"/>
      </font>
      <fill>
        <patternFill>
          <bgColor rgb="FF0070C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797"/>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b/>
        <i val="0"/>
        <color rgb="FFC00000"/>
      </font>
      <fill>
        <patternFill>
          <bgColor rgb="FFFFFF00"/>
        </patternFill>
      </fill>
    </dxf>
    <dxf>
      <font>
        <b/>
        <i val="0"/>
        <color rgb="FFC00000"/>
      </font>
      <fill>
        <patternFill>
          <bgColor rgb="FFFFFF00"/>
        </patternFill>
      </fill>
      <border>
        <vertical/>
        <horizontal/>
      </border>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border>
        <vertical/>
        <horizontal/>
      </border>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ill>
        <patternFill>
          <bgColor rgb="FFFFC7CE"/>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rgb="FFFF9B9B"/>
        </patternFill>
      </fill>
    </dxf>
    <dxf>
      <fill>
        <patternFill>
          <bgColor theme="5" tint="0.79998168889431442"/>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FF9B9B"/>
        </patternFill>
      </fill>
    </dxf>
    <dxf>
      <fill>
        <patternFill>
          <bgColor rgb="FF92D05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9" tint="0.79998168889431442"/>
        </patternFill>
      </fill>
    </dxf>
    <dxf>
      <fill>
        <patternFill>
          <bgColor theme="9" tint="0.79998168889431442"/>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b/>
        <i val="0"/>
        <color rgb="FFC00000"/>
      </font>
      <fill>
        <patternFill>
          <bgColor rgb="FFFFFF00"/>
        </patternFill>
      </fill>
    </dxf>
    <dxf>
      <font>
        <b/>
        <i val="0"/>
        <color rgb="FFC00000"/>
      </font>
      <fill>
        <patternFill>
          <bgColor rgb="FFFFFF00"/>
        </patternFill>
      </fill>
    </dxf>
    <dxf>
      <font>
        <b/>
        <i val="0"/>
        <color rgb="FFC00000"/>
      </font>
      <fill>
        <patternFill>
          <bgColor rgb="FFFFFF00"/>
        </patternFill>
      </fill>
    </dxf>
    <dxf>
      <font>
        <b/>
        <i val="0"/>
        <color rgb="FFC00000"/>
      </font>
      <fill>
        <patternFill>
          <bgColor rgb="FFFFFF00"/>
        </patternFill>
      </fill>
    </dxf>
    <dxf>
      <fill>
        <patternFill>
          <bgColor theme="5" tint="0.3999450666829432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0070C0"/>
      </font>
      <fill>
        <patternFill>
          <bgColor theme="5" tint="0.79998168889431442"/>
        </patternFill>
      </fill>
      <border>
        <left/>
        <right/>
        <top/>
        <bottom/>
      </border>
    </dxf>
    <dxf>
      <font>
        <strike val="0"/>
        <color rgb="FF0070C0"/>
      </font>
      <fill>
        <patternFill>
          <bgColor theme="5" tint="0.79998168889431442"/>
        </patternFill>
      </fill>
      <border>
        <left/>
        <right/>
        <top/>
        <bottom/>
      </border>
    </dxf>
    <dxf>
      <border>
        <left style="thin">
          <color auto="1"/>
        </left>
        <right style="thin">
          <color auto="1"/>
        </right>
        <top style="thin">
          <color auto="1"/>
        </top>
        <bottom style="thin">
          <color auto="1"/>
        </bottom>
        <vertical/>
        <horizontal/>
      </border>
    </dxf>
    <dxf>
      <font>
        <b/>
        <i val="0"/>
        <color auto="1"/>
      </font>
      <fill>
        <patternFill>
          <bgColor rgb="FFFDEFE7"/>
        </patternFill>
      </fill>
    </dxf>
    <dxf>
      <font>
        <color rgb="FF0070C0"/>
      </font>
      <fill>
        <patternFill>
          <bgColor theme="5" tint="0.79998168889431442"/>
        </patternFill>
      </fill>
      <border>
        <left/>
        <right/>
        <top/>
        <bottom/>
      </border>
    </dxf>
    <dxf>
      <font>
        <strike val="0"/>
        <color rgb="FF0070C0"/>
      </font>
      <fill>
        <patternFill>
          <bgColor theme="5" tint="0.79998168889431442"/>
        </patternFill>
      </fill>
      <border>
        <left/>
        <right/>
        <top/>
        <bottom/>
      </border>
    </dxf>
    <dxf>
      <border>
        <left style="thin">
          <color auto="1"/>
        </left>
        <right style="thin">
          <color auto="1"/>
        </right>
        <top style="thin">
          <color auto="1"/>
        </top>
        <bottom style="thin">
          <color auto="1"/>
        </bottom>
        <vertical/>
        <horizontal/>
      </border>
    </dxf>
    <dxf>
      <font>
        <b/>
        <i val="0"/>
        <color auto="1"/>
      </font>
      <fill>
        <patternFill>
          <bgColor rgb="FFFDEFE7"/>
        </patternFill>
      </fill>
    </dxf>
    <dxf>
      <font>
        <color rgb="FF0070C0"/>
      </font>
      <fill>
        <patternFill>
          <bgColor theme="5" tint="0.79998168889431442"/>
        </patternFill>
      </fill>
      <border>
        <left/>
        <right/>
        <top/>
        <bottom/>
      </border>
    </dxf>
    <dxf>
      <font>
        <strike val="0"/>
        <color rgb="FF0070C0"/>
      </font>
      <fill>
        <patternFill>
          <bgColor theme="5" tint="0.79998168889431442"/>
        </patternFill>
      </fill>
      <border>
        <left/>
        <right/>
        <top/>
        <bottom/>
      </border>
    </dxf>
    <dxf>
      <font>
        <b/>
        <i val="0"/>
        <color auto="1"/>
      </font>
      <fill>
        <patternFill>
          <bgColor rgb="FFFDEFE7"/>
        </patternFill>
      </fill>
    </dxf>
    <dxf>
      <font>
        <color rgb="FF0070C0"/>
      </font>
      <fill>
        <patternFill>
          <bgColor theme="5" tint="0.79998168889431442"/>
        </patternFill>
      </fill>
      <border>
        <left/>
        <right/>
        <top/>
        <bottom/>
      </border>
    </dxf>
    <dxf>
      <font>
        <strike val="0"/>
        <color rgb="FF0070C0"/>
      </font>
      <fill>
        <patternFill>
          <bgColor theme="5" tint="0.79998168889431442"/>
        </patternFill>
      </fill>
      <border>
        <left/>
        <right/>
        <top/>
        <bottom/>
      </border>
    </dxf>
    <dxf>
      <font>
        <b/>
        <i val="0"/>
        <color auto="1"/>
      </font>
      <fill>
        <patternFill>
          <bgColor rgb="FFFDEFE7"/>
        </patternFill>
      </fill>
    </dxf>
    <dxf>
      <font>
        <color rgb="FF0070C0"/>
      </font>
      <fill>
        <patternFill>
          <bgColor theme="5" tint="0.79998168889431442"/>
        </patternFill>
      </fill>
      <border>
        <left/>
        <right/>
        <top/>
        <bottom/>
      </border>
    </dxf>
    <dxf>
      <font>
        <strike val="0"/>
        <color rgb="FF0070C0"/>
      </font>
      <fill>
        <patternFill>
          <bgColor theme="5" tint="0.79998168889431442"/>
        </patternFill>
      </fill>
      <border>
        <left/>
        <right/>
        <top/>
        <bottom/>
      </border>
    </dxf>
    <dxf>
      <font>
        <b/>
        <i val="0"/>
        <color auto="1"/>
      </font>
      <fill>
        <patternFill>
          <bgColor rgb="FFFDEFE7"/>
        </patternFill>
      </fill>
    </dxf>
    <dxf>
      <font>
        <color rgb="FF0070C0"/>
      </font>
      <fill>
        <patternFill>
          <bgColor theme="5" tint="0.79998168889431442"/>
        </patternFill>
      </fill>
      <border>
        <left/>
        <right/>
        <top/>
        <bottom/>
      </border>
    </dxf>
    <dxf>
      <font>
        <strike val="0"/>
        <color rgb="FF0070C0"/>
      </font>
      <fill>
        <patternFill>
          <bgColor theme="5" tint="0.79998168889431442"/>
        </patternFill>
      </fill>
      <border>
        <left/>
        <right/>
        <top/>
        <bottom/>
      </border>
    </dxf>
    <dxf>
      <font>
        <b/>
        <i val="0"/>
        <color auto="1"/>
      </font>
      <fill>
        <patternFill>
          <bgColor rgb="FFFDEFE7"/>
        </patternFill>
      </fill>
    </dxf>
    <dxf>
      <font>
        <color rgb="FF0070C0"/>
      </font>
      <fill>
        <patternFill>
          <bgColor theme="5" tint="0.79998168889431442"/>
        </patternFill>
      </fill>
      <border>
        <left/>
        <right/>
        <top/>
        <bottom/>
      </border>
    </dxf>
    <dxf>
      <font>
        <strike val="0"/>
        <color rgb="FF0070C0"/>
      </font>
      <fill>
        <patternFill>
          <bgColor theme="5" tint="0.79998168889431442"/>
        </patternFill>
      </fill>
      <border>
        <left/>
        <right/>
        <top/>
        <bottom/>
      </border>
    </dxf>
    <dxf>
      <font>
        <b/>
        <i val="0"/>
        <color auto="1"/>
      </font>
      <fill>
        <patternFill>
          <bgColor rgb="FFFDEFE7"/>
        </patternFill>
      </fill>
    </dxf>
    <dxf>
      <font>
        <color rgb="FF0070C0"/>
      </font>
      <fill>
        <patternFill>
          <bgColor theme="5" tint="0.79998168889431442"/>
        </patternFill>
      </fill>
      <border>
        <left/>
        <right/>
        <top/>
        <bottom/>
      </border>
    </dxf>
    <dxf>
      <font>
        <strike val="0"/>
        <color rgb="FF0070C0"/>
      </font>
      <fill>
        <patternFill>
          <bgColor theme="5" tint="0.79998168889431442"/>
        </patternFill>
      </fill>
      <border>
        <left/>
        <right/>
        <top/>
        <bottom/>
      </border>
    </dxf>
    <dxf>
      <font>
        <b/>
        <i val="0"/>
        <color auto="1"/>
      </font>
      <fill>
        <patternFill>
          <bgColor rgb="FFFDEFE7"/>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9B9B"/>
        </patternFill>
      </fill>
    </dxf>
    <dxf>
      <fill>
        <patternFill>
          <bgColor rgb="FF92D05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9B9B"/>
        </patternFill>
      </fill>
    </dxf>
    <dxf>
      <fill>
        <patternFill>
          <bgColor rgb="FF92D050"/>
        </patternFill>
      </fill>
    </dxf>
    <dxf>
      <fill>
        <patternFill>
          <bgColor rgb="FFFFC7CE"/>
        </patternFill>
      </fill>
    </dxf>
    <dxf>
      <fill>
        <patternFill>
          <bgColor rgb="FF92D050"/>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b/>
        <i val="0"/>
        <color rgb="FFC00000"/>
      </font>
      <fill>
        <patternFill>
          <bgColor rgb="FFFFFF00"/>
        </patternFill>
      </fill>
    </dxf>
    <dxf>
      <font>
        <color rgb="FFC00000"/>
      </font>
      <fill>
        <patternFill>
          <bgColor rgb="FFFFFF00"/>
        </patternFill>
      </fill>
    </dxf>
    <dxf>
      <font>
        <b/>
        <i val="0"/>
        <color rgb="FFC00000"/>
      </font>
      <fill>
        <patternFill>
          <bgColor rgb="FFFFFF00"/>
        </patternFill>
      </fill>
    </dxf>
    <dxf>
      <font>
        <color rgb="FFC00000"/>
      </font>
      <fill>
        <patternFill>
          <bgColor rgb="FFFFFF00"/>
        </patternFill>
      </fill>
    </dxf>
    <dxf>
      <font>
        <b/>
        <i val="0"/>
        <color rgb="FFC00000"/>
      </font>
      <fill>
        <patternFill>
          <bgColor rgb="FFFFFF00"/>
        </patternFill>
      </fill>
    </dxf>
    <dxf>
      <font>
        <color rgb="FFC00000"/>
      </font>
      <fill>
        <patternFill>
          <bgColor rgb="FFFFFF00"/>
        </patternFill>
      </fill>
    </dxf>
    <dxf>
      <font>
        <b/>
        <i val="0"/>
        <color rgb="FFC00000"/>
      </font>
      <fill>
        <patternFill>
          <bgColor rgb="FFFFFF00"/>
        </patternFill>
      </fill>
    </dxf>
    <dxf>
      <font>
        <color rgb="FFC00000"/>
      </font>
      <fill>
        <patternFill>
          <bgColor rgb="FFFFFF00"/>
        </patternFill>
      </fill>
    </dxf>
    <dxf>
      <font>
        <b/>
        <i val="0"/>
        <color rgb="FFC00000"/>
      </font>
      <fill>
        <patternFill>
          <bgColor rgb="FFFFFF00"/>
        </patternFill>
      </fill>
    </dxf>
    <dxf>
      <font>
        <color rgb="FFC00000"/>
      </font>
      <fill>
        <patternFill>
          <bgColor rgb="FFFFFF00"/>
        </patternFill>
      </fill>
    </dxf>
    <dxf>
      <font>
        <b/>
        <i val="0"/>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border>
        <left/>
        <right/>
        <top/>
        <bottom/>
      </border>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92D050"/>
        </patternFill>
      </fill>
    </dxf>
    <dxf>
      <fill>
        <patternFill>
          <bgColor rgb="FFFF9797"/>
        </patternFill>
      </fill>
    </dxf>
    <dxf>
      <fill>
        <patternFill>
          <bgColor rgb="FF92D050"/>
        </patternFill>
      </fill>
    </dxf>
    <dxf>
      <fill>
        <patternFill>
          <bgColor rgb="FFFF9797"/>
        </patternFill>
      </fill>
    </dxf>
    <dxf>
      <fill>
        <patternFill>
          <bgColor rgb="FF92D050"/>
        </patternFill>
      </fill>
    </dxf>
    <dxf>
      <fill>
        <patternFill>
          <bgColor rgb="FFFF9797"/>
        </patternFill>
      </fill>
    </dxf>
    <dxf>
      <fill>
        <patternFill>
          <bgColor rgb="FF92D050"/>
        </patternFill>
      </fill>
    </dxf>
    <dxf>
      <fill>
        <patternFill>
          <bgColor rgb="FFFF9797"/>
        </patternFill>
      </fill>
    </dxf>
    <dxf>
      <fill>
        <patternFill>
          <bgColor rgb="FF92D050"/>
        </patternFill>
      </fill>
    </dxf>
    <dxf>
      <fill>
        <patternFill>
          <bgColor rgb="FFFF9797"/>
        </patternFill>
      </fill>
    </dxf>
    <dxf>
      <fill>
        <patternFill>
          <bgColor rgb="FF92D050"/>
        </patternFill>
      </fill>
    </dxf>
    <dxf>
      <fill>
        <patternFill>
          <bgColor rgb="FFFF9797"/>
        </patternFill>
      </fill>
    </dxf>
    <dxf>
      <fill>
        <patternFill>
          <bgColor rgb="FF92D050"/>
        </patternFill>
      </fill>
    </dxf>
    <dxf>
      <fill>
        <patternFill>
          <bgColor rgb="FFFF9797"/>
        </patternFill>
      </fill>
    </dxf>
    <dxf>
      <fill>
        <patternFill>
          <bgColor rgb="FFFF9B9B"/>
        </patternFill>
      </fill>
    </dxf>
    <dxf>
      <fill>
        <patternFill>
          <bgColor rgb="FF92D050"/>
        </patternFill>
      </fill>
    </dxf>
    <dxf>
      <fill>
        <patternFill>
          <bgColor rgb="FFFF9B9B"/>
        </patternFill>
      </fill>
    </dxf>
    <dxf>
      <fill>
        <patternFill>
          <bgColor rgb="FF92D050"/>
        </patternFill>
      </fill>
    </dxf>
    <dxf>
      <font>
        <color rgb="FFFF0000"/>
      </font>
      <fill>
        <patternFill>
          <bgColor rgb="FFFFFF00"/>
        </patternFill>
      </fill>
    </dxf>
    <dxf>
      <fill>
        <patternFill>
          <bgColor rgb="FF92D050"/>
        </patternFill>
      </fill>
    </dxf>
    <dxf>
      <fill>
        <patternFill>
          <bgColor rgb="FFFF9B9B"/>
        </patternFill>
      </fill>
    </dxf>
    <dxf>
      <fill>
        <patternFill>
          <bgColor rgb="FFFF9B9B"/>
        </patternFill>
      </fill>
    </dxf>
    <dxf>
      <fill>
        <patternFill>
          <bgColor rgb="FF92D050"/>
        </patternFill>
      </fill>
    </dxf>
    <dxf>
      <font>
        <color rgb="FFFF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E8DAFA"/>
        </patternFill>
      </fill>
    </dxf>
    <dxf>
      <fill>
        <patternFill>
          <bgColor rgb="FFFFF0C5"/>
        </patternFill>
      </fill>
    </dxf>
    <dxf>
      <fill>
        <patternFill>
          <bgColor rgb="FFE8DAFA"/>
        </patternFill>
      </fill>
    </dxf>
    <dxf>
      <fill>
        <patternFill>
          <bgColor rgb="FFFFF0C5"/>
        </patternFill>
      </fill>
    </dxf>
    <dxf>
      <fill>
        <patternFill>
          <bgColor rgb="FFE8DAFA"/>
        </patternFill>
      </fill>
    </dxf>
    <dxf>
      <fill>
        <patternFill>
          <bgColor rgb="FFFFF0C5"/>
        </patternFill>
      </fill>
    </dxf>
    <dxf>
      <fill>
        <patternFill>
          <bgColor rgb="FFE8DAFA"/>
        </patternFill>
      </fill>
    </dxf>
    <dxf>
      <fill>
        <patternFill>
          <bgColor rgb="FFFFF0C5"/>
        </patternFill>
      </fill>
    </dxf>
    <dxf>
      <fill>
        <patternFill>
          <bgColor rgb="FFE8DAFA"/>
        </patternFill>
      </fill>
    </dxf>
    <dxf>
      <fill>
        <patternFill>
          <bgColor rgb="FFFFF0C5"/>
        </patternFill>
      </fill>
    </dxf>
    <dxf>
      <fill>
        <patternFill>
          <bgColor rgb="FFE8DAFA"/>
        </patternFill>
      </fill>
    </dxf>
    <dxf>
      <fill>
        <patternFill>
          <bgColor rgb="FFFFF0C5"/>
        </patternFill>
      </fill>
    </dxf>
    <dxf>
      <fill>
        <patternFill>
          <bgColor rgb="FFE8DAFA"/>
        </patternFill>
      </fill>
    </dxf>
    <dxf>
      <fill>
        <patternFill>
          <bgColor rgb="FFFFF0C5"/>
        </patternFill>
      </fill>
    </dxf>
    <dxf>
      <font>
        <color rgb="FFFF0000"/>
      </font>
      <fill>
        <patternFill>
          <bgColor rgb="FFFFFF0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92D050"/>
        </patternFill>
      </fill>
    </dxf>
    <dxf>
      <fill>
        <patternFill>
          <bgColor rgb="FFFF9B9B"/>
        </patternFill>
      </fill>
    </dxf>
    <dxf>
      <fill>
        <patternFill>
          <bgColor rgb="FF92D050"/>
        </patternFill>
      </fill>
    </dxf>
    <dxf>
      <font>
        <color rgb="FF0070C0"/>
      </font>
      <fill>
        <patternFill>
          <bgColor theme="5" tint="0.79998168889431442"/>
        </patternFill>
      </fill>
      <border>
        <left/>
        <right/>
        <top/>
        <bottom/>
      </border>
    </dxf>
    <dxf>
      <font>
        <strike val="0"/>
        <color rgb="FF0070C0"/>
      </font>
      <fill>
        <patternFill>
          <bgColor theme="5" tint="0.79998168889431442"/>
        </patternFill>
      </fill>
      <border>
        <left/>
        <right/>
        <top/>
        <bottom/>
      </border>
    </dxf>
    <dxf>
      <border>
        <left style="thin">
          <color auto="1"/>
        </left>
        <right style="thin">
          <color auto="1"/>
        </right>
        <top style="thin">
          <color auto="1"/>
        </top>
        <bottom style="thin">
          <color auto="1"/>
        </bottom>
        <vertical/>
        <horizontal/>
      </border>
    </dxf>
    <dxf>
      <font>
        <b/>
        <i val="0"/>
        <color auto="1"/>
      </font>
      <fill>
        <patternFill>
          <bgColor rgb="FFFDEFE7"/>
        </patternFill>
      </fill>
    </dxf>
    <dxf>
      <fill>
        <patternFill>
          <bgColor rgb="FFFDF0E9"/>
        </patternFill>
      </fill>
    </dxf>
    <dxf>
      <border>
        <left style="thin">
          <color auto="1"/>
        </left>
        <right style="thin">
          <color auto="1"/>
        </right>
        <top style="thin">
          <color auto="1"/>
        </top>
        <bottom style="thin">
          <color auto="1"/>
        </bottom>
        <vertical/>
        <horizontal/>
      </border>
    </dxf>
    <dxf>
      <font>
        <b/>
        <i val="0"/>
        <color auto="1"/>
      </font>
      <fill>
        <patternFill>
          <bgColor rgb="FFFDEFE7"/>
        </patternFill>
      </fill>
    </dxf>
    <dxf>
      <border>
        <left style="thin">
          <color auto="1"/>
        </left>
        <right style="thin">
          <color auto="1"/>
        </right>
        <top style="thin">
          <color auto="1"/>
        </top>
        <bottom style="thin">
          <color auto="1"/>
        </bottom>
        <vertical/>
        <horizontal/>
      </border>
    </dxf>
    <dxf>
      <font>
        <b/>
        <i val="0"/>
      </font>
      <fill>
        <patternFill>
          <bgColor theme="5" tint="0.79998168889431442"/>
        </patternFill>
      </fill>
    </dxf>
    <dxf>
      <font>
        <color rgb="FFC00000"/>
      </font>
      <fill>
        <patternFill>
          <bgColor rgb="FFFFFF00"/>
        </patternFill>
      </fill>
      <border>
        <left/>
        <right/>
        <top/>
        <bottom/>
      </border>
    </dxf>
    <dxf>
      <fill>
        <patternFill>
          <bgColor rgb="FFFFC7CE"/>
        </patternFill>
      </fill>
    </dxf>
    <dxf>
      <fill>
        <patternFill>
          <bgColor rgb="FF92D050"/>
        </patternFill>
      </fill>
    </dxf>
    <dxf>
      <fill>
        <patternFill>
          <bgColor rgb="FFE8DAFA"/>
        </patternFill>
      </fill>
    </dxf>
    <dxf>
      <fill>
        <patternFill>
          <bgColor rgb="FFFFF0C5"/>
        </patternFill>
      </fill>
    </dxf>
    <dxf>
      <fill>
        <patternFill>
          <bgColor rgb="FFE8DAFA"/>
        </patternFill>
      </fill>
    </dxf>
    <dxf>
      <fill>
        <patternFill>
          <bgColor rgb="FFFFF0C5"/>
        </patternFill>
      </fill>
    </dxf>
    <dxf>
      <fill>
        <patternFill>
          <bgColor rgb="FFE8DAFA"/>
        </patternFill>
      </fill>
    </dxf>
    <dxf>
      <fill>
        <patternFill>
          <bgColor rgb="FFFFF0C5"/>
        </patternFill>
      </fill>
    </dxf>
    <dxf>
      <fill>
        <patternFill>
          <bgColor rgb="FFFFC7CE"/>
        </patternFill>
      </fill>
    </dxf>
    <dxf>
      <fill>
        <patternFill>
          <bgColor rgb="FF92D050"/>
        </patternFill>
      </fill>
    </dxf>
    <dxf>
      <fill>
        <patternFill>
          <bgColor rgb="FFEFF6FB"/>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9B9B"/>
      <color rgb="FFFFC7CE"/>
      <color rgb="FFEFF6FB"/>
      <color rgb="FFFFF0C5"/>
      <color rgb="FFECDFF5"/>
      <color rgb="FFDDDDFF"/>
      <color rgb="FFECF6FB"/>
      <color rgb="FFDCEFFC"/>
      <color rgb="FFD5ECFB"/>
      <color rgb="FFABD8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123826</xdr:colOff>
      <xdr:row>0</xdr:row>
      <xdr:rowOff>95250</xdr:rowOff>
    </xdr:from>
    <xdr:to>
      <xdr:col>2</xdr:col>
      <xdr:colOff>1036849</xdr:colOff>
      <xdr:row>2</xdr:row>
      <xdr:rowOff>43053</xdr:rowOff>
    </xdr:to>
    <xdr:pic>
      <xdr:nvPicPr>
        <xdr:cNvPr id="3" name="Picture 2" descr="CoAEMSP logo border tagline">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6" y="95250"/>
          <a:ext cx="913023" cy="1024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228600</xdr:colOff>
      <xdr:row>0</xdr:row>
      <xdr:rowOff>123824</xdr:rowOff>
    </xdr:from>
    <xdr:to>
      <xdr:col>13</xdr:col>
      <xdr:colOff>410822</xdr:colOff>
      <xdr:row>2</xdr:row>
      <xdr:rowOff>9524</xdr:rowOff>
    </xdr:to>
    <xdr:pic>
      <xdr:nvPicPr>
        <xdr:cNvPr id="4" name="Picture 9" descr="CAAHEP logo">
          <a:extLst>
            <a:ext uri="{FF2B5EF4-FFF2-40B4-BE49-F238E27FC236}">
              <a16:creationId xmlns:a16="http://schemas.microsoft.com/office/drawing/2014/main" id="{00000000-0008-0000-0100-000009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4097" t="14703" r="20572" b="20456"/>
        <a:stretch/>
      </xdr:blipFill>
      <xdr:spPr bwMode="auto">
        <a:xfrm>
          <a:off x="7886700" y="123824"/>
          <a:ext cx="791822"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coaemsp.org/Policy_Procedures.htm" TargetMode="External"/><Relationship Id="rId7" Type="http://schemas.openxmlformats.org/officeDocument/2006/relationships/printerSettings" Target="../printerSettings/printerSettings2.bin"/><Relationship Id="rId2" Type="http://schemas.openxmlformats.org/officeDocument/2006/relationships/hyperlink" Target="http://coaemsp.org/Policy_Procedures.htm" TargetMode="External"/><Relationship Id="rId1" Type="http://schemas.openxmlformats.org/officeDocument/2006/relationships/printerSettings" Target="../printerSettings/printerSettings1.bin"/><Relationship Id="rId6" Type="http://schemas.openxmlformats.org/officeDocument/2006/relationships/hyperlink" Target="mailto:annualreports@coaemsp.org" TargetMode="External"/><Relationship Id="rId5" Type="http://schemas.openxmlformats.org/officeDocument/2006/relationships/hyperlink" Target="file:///\\COA-AS\GoldMine\MailBox\Attach\2019\01\_2018%20Annual%20Report.xlsx" TargetMode="External"/><Relationship Id="rId10" Type="http://schemas.openxmlformats.org/officeDocument/2006/relationships/comments" Target="../comments1.xml"/><Relationship Id="rId4" Type="http://schemas.openxmlformats.org/officeDocument/2006/relationships/hyperlink" Target="http://coaemsp.org/Evaluations.htm"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tint="-0.249977111117893"/>
  </sheetPr>
  <dimension ref="A1:CP357"/>
  <sheetViews>
    <sheetView showGridLines="0" tabSelected="1" topLeftCell="A345" zoomScale="90" zoomScaleNormal="90" workbookViewId="0">
      <selection activeCell="C347" sqref="C347"/>
    </sheetView>
  </sheetViews>
  <sheetFormatPr defaultRowHeight="15" x14ac:dyDescent="0.25"/>
  <cols>
    <col min="1" max="1" width="4.85546875" style="14" customWidth="1"/>
    <col min="2" max="2" width="4.42578125" customWidth="1"/>
    <col min="3" max="3" width="21.85546875" customWidth="1"/>
    <col min="4" max="4" width="20.85546875" customWidth="1"/>
    <col min="5" max="6" width="11.42578125" customWidth="1"/>
    <col min="7" max="7" width="13.42578125" customWidth="1"/>
    <col min="8" max="13" width="11.42578125" customWidth="1"/>
    <col min="14" max="14" width="14" customWidth="1"/>
    <col min="16" max="16" width="9.140625" style="217"/>
    <col min="23" max="23" width="10.5703125" customWidth="1"/>
  </cols>
  <sheetData>
    <row r="1" spans="1:32" x14ac:dyDescent="0.25">
      <c r="A1" s="218"/>
    </row>
    <row r="2" spans="1:32" ht="63" customHeight="1" x14ac:dyDescent="0.25">
      <c r="D2" s="382" t="s">
        <v>4</v>
      </c>
      <c r="E2" s="382"/>
      <c r="F2" s="382"/>
      <c r="G2" s="382"/>
      <c r="H2" s="382"/>
      <c r="I2" s="382"/>
      <c r="J2" s="382"/>
      <c r="K2" s="382"/>
      <c r="L2" s="382"/>
      <c r="R2" s="3"/>
      <c r="S2" s="3"/>
      <c r="T2" s="3"/>
      <c r="U2" s="3"/>
      <c r="V2" s="3"/>
      <c r="W2" s="3"/>
      <c r="X2" s="3"/>
      <c r="Y2" s="3"/>
      <c r="Z2" s="3"/>
      <c r="AA2" s="3"/>
      <c r="AB2" s="3"/>
      <c r="AC2" s="3"/>
      <c r="AD2" s="3"/>
      <c r="AE2" s="14"/>
      <c r="AF2" s="14"/>
    </row>
    <row r="3" spans="1:32" ht="10.5" customHeight="1" x14ac:dyDescent="0.25">
      <c r="D3" s="1"/>
      <c r="R3" s="3"/>
      <c r="S3" s="3"/>
      <c r="T3" s="3"/>
      <c r="U3" s="3"/>
      <c r="V3" s="3"/>
      <c r="W3" s="3"/>
      <c r="X3" s="3"/>
      <c r="Y3" s="3"/>
      <c r="Z3" s="3"/>
      <c r="AA3" s="3"/>
      <c r="AB3" s="3"/>
      <c r="AC3" s="3"/>
      <c r="AD3" s="3"/>
      <c r="AE3" s="14"/>
      <c r="AF3" s="14"/>
    </row>
    <row r="4" spans="1:32" ht="39" customHeight="1" x14ac:dyDescent="0.25">
      <c r="B4" s="44"/>
      <c r="C4" s="44"/>
      <c r="D4" s="44">
        <v>2017</v>
      </c>
      <c r="E4" s="44" t="s">
        <v>101</v>
      </c>
      <c r="F4" s="44"/>
      <c r="G4" s="44"/>
      <c r="H4" s="44"/>
      <c r="I4" s="44"/>
      <c r="J4" s="44"/>
      <c r="K4" s="44"/>
      <c r="L4" s="44"/>
      <c r="M4" s="44"/>
      <c r="N4" s="44"/>
      <c r="Q4" s="14"/>
      <c r="R4" s="3"/>
      <c r="S4" s="3"/>
      <c r="T4" s="3"/>
      <c r="U4" s="3"/>
      <c r="V4" s="3"/>
      <c r="W4" s="3"/>
      <c r="X4" s="3"/>
      <c r="Y4" s="3"/>
      <c r="Z4" s="3"/>
      <c r="AA4" s="3"/>
      <c r="AB4" s="3"/>
      <c r="AC4" s="3"/>
      <c r="AD4" s="3"/>
      <c r="AE4" s="14"/>
      <c r="AF4" s="14"/>
    </row>
    <row r="5" spans="1:32" x14ac:dyDescent="0.25">
      <c r="A5" s="386">
        <v>1</v>
      </c>
      <c r="B5" s="386"/>
      <c r="C5" s="386"/>
      <c r="D5" s="386"/>
      <c r="E5" s="386"/>
      <c r="F5" s="386"/>
    </row>
    <row r="6" spans="1:32" ht="12.75" customHeight="1" x14ac:dyDescent="0.25">
      <c r="Q6" s="14"/>
      <c r="R6" s="3"/>
      <c r="S6" s="3"/>
      <c r="T6" s="3"/>
      <c r="U6" s="3"/>
      <c r="V6" s="3"/>
      <c r="W6" s="3"/>
      <c r="X6" s="3"/>
      <c r="Y6" s="3"/>
      <c r="Z6" s="3"/>
      <c r="AA6" s="3"/>
      <c r="AB6" s="3"/>
      <c r="AC6" s="3"/>
      <c r="AD6" s="3"/>
      <c r="AE6" s="14"/>
      <c r="AF6" s="14"/>
    </row>
    <row r="7" spans="1:32" ht="42" customHeight="1" x14ac:dyDescent="0.25">
      <c r="B7" s="383" t="str">
        <f>"CoAEMSP Letter of Review (LoR) / CAAHEP Accredited (Initial and Continuing) programs must complete and submit THIS Excel annual report template no later than March 15, " &amp;D4+2&amp; " which will represent all cohorts that have graduated in " &amp;D4&amp; ".  No PDF or paper copy versions of this report will be accepted."</f>
        <v>CoAEMSP Letter of Review (LoR) / CAAHEP Accredited (Initial and Continuing) programs must complete and submit THIS Excel annual report template no later than March 15, 2019 which will represent all cohorts that have graduated in 2017.  No PDF or paper copy versions of this report will be accepted.</v>
      </c>
      <c r="C7" s="383"/>
      <c r="D7" s="383"/>
      <c r="E7" s="383"/>
      <c r="F7" s="383"/>
      <c r="G7" s="383"/>
      <c r="H7" s="383"/>
      <c r="I7" s="383"/>
      <c r="J7" s="383"/>
      <c r="K7" s="383"/>
      <c r="L7" s="383"/>
      <c r="M7" s="383"/>
      <c r="N7" s="383"/>
      <c r="O7" s="174"/>
    </row>
    <row r="8" spans="1:32" ht="39.75" customHeight="1" x14ac:dyDescent="0.25">
      <c r="B8" s="389" t="str">
        <f>"~ Remember ~ 
The filing deadline is March 15, " &amp;D4+2</f>
        <v>~ Remember ~ 
The filing deadline is March 15, 2019</v>
      </c>
      <c r="C8" s="390"/>
      <c r="D8" s="390"/>
      <c r="E8" s="390"/>
      <c r="F8" s="390"/>
      <c r="G8" s="390"/>
      <c r="H8" s="390"/>
      <c r="I8" s="390"/>
      <c r="J8" s="390"/>
      <c r="K8" s="390"/>
      <c r="L8" s="390"/>
      <c r="M8" s="390"/>
      <c r="N8" s="390"/>
    </row>
    <row r="9" spans="1:32" ht="14.45" customHeight="1" x14ac:dyDescent="0.25">
      <c r="D9" s="7"/>
      <c r="E9" s="7"/>
      <c r="G9" s="7"/>
      <c r="H9" s="7"/>
      <c r="I9" s="7"/>
      <c r="J9" s="7"/>
      <c r="K9" s="7"/>
      <c r="R9" s="217"/>
      <c r="S9" s="217"/>
    </row>
    <row r="10" spans="1:32" ht="15" customHeight="1" x14ac:dyDescent="0.25">
      <c r="C10" s="98"/>
      <c r="D10" s="8"/>
      <c r="E10" s="392" t="s">
        <v>3</v>
      </c>
      <c r="F10" s="393"/>
      <c r="G10" s="393"/>
      <c r="H10" s="393"/>
      <c r="I10" s="393"/>
      <c r="J10" s="393"/>
      <c r="K10" s="393"/>
      <c r="L10" s="393"/>
      <c r="M10" s="393"/>
      <c r="N10" s="98"/>
      <c r="R10" s="217"/>
      <c r="S10" s="217"/>
      <c r="T10" s="217"/>
    </row>
    <row r="11" spans="1:32" x14ac:dyDescent="0.25">
      <c r="R11" s="217"/>
      <c r="S11" s="217"/>
      <c r="T11" s="217"/>
    </row>
    <row r="12" spans="1:32" ht="12.75" customHeight="1" x14ac:dyDescent="0.25">
      <c r="Q12" s="14"/>
      <c r="R12" s="217"/>
      <c r="S12" s="217"/>
      <c r="T12" s="217"/>
      <c r="U12" s="3"/>
      <c r="V12" s="3"/>
      <c r="W12" s="3"/>
      <c r="X12" s="3"/>
      <c r="Y12" s="3"/>
      <c r="Z12" s="3"/>
      <c r="AA12" s="3"/>
      <c r="AB12" s="3"/>
      <c r="AC12" s="3"/>
      <c r="AD12" s="3"/>
      <c r="AE12" s="14"/>
      <c r="AF12" s="14"/>
    </row>
    <row r="13" spans="1:32" ht="12.75" customHeight="1" x14ac:dyDescent="0.25">
      <c r="Q13" s="14"/>
      <c r="R13" s="3" t="s">
        <v>86</v>
      </c>
      <c r="S13" s="3">
        <f>IF(D4&lt;&gt;"",14,14)</f>
        <v>14</v>
      </c>
      <c r="T13" s="217"/>
      <c r="U13" s="3"/>
      <c r="V13" s="3"/>
      <c r="W13" s="3"/>
      <c r="X13" s="3"/>
      <c r="Y13" s="3"/>
      <c r="Z13" s="3"/>
      <c r="AA13" s="3"/>
      <c r="AB13" s="3"/>
      <c r="AC13" s="3"/>
      <c r="AD13" s="3"/>
      <c r="AE13" s="14"/>
      <c r="AF13" s="14"/>
    </row>
    <row r="14" spans="1:32" ht="25.5" customHeight="1" x14ac:dyDescent="0.25">
      <c r="B14" s="2"/>
      <c r="C14" s="17" t="s">
        <v>6</v>
      </c>
      <c r="D14" s="131">
        <v>600837</v>
      </c>
      <c r="E14" s="15" t="s">
        <v>9</v>
      </c>
      <c r="O14" s="226" t="str">
        <f>IF(P14=1, "&lt;===", "")</f>
        <v/>
      </c>
      <c r="P14" s="227" t="str">
        <f>IF(AND(D14="", D349&lt;&gt;""), 1, "")</f>
        <v/>
      </c>
      <c r="R14" s="3" t="s">
        <v>80</v>
      </c>
      <c r="S14" s="3">
        <f>IF(AND(N66&lt;70%,N66&lt;&gt;0%),69,14)</f>
        <v>14</v>
      </c>
      <c r="T14" s="217"/>
    </row>
    <row r="15" spans="1:32" x14ac:dyDescent="0.25">
      <c r="P15" s="3"/>
      <c r="R15" s="3" t="s">
        <v>81</v>
      </c>
      <c r="S15" s="3">
        <f>IF(AND(N86&lt;70%,N86&lt;&gt;0%),83,14)</f>
        <v>14</v>
      </c>
      <c r="T15" s="217"/>
    </row>
    <row r="16" spans="1:32" ht="25.5" customHeight="1" x14ac:dyDescent="0.25">
      <c r="B16" s="2"/>
      <c r="C16" s="17" t="s">
        <v>33</v>
      </c>
      <c r="D16" s="345" t="s">
        <v>111</v>
      </c>
      <c r="E16" s="346"/>
      <c r="F16" s="346"/>
      <c r="G16" s="346"/>
      <c r="H16" s="346"/>
      <c r="I16" s="346"/>
      <c r="J16" s="346"/>
      <c r="K16" s="346"/>
      <c r="L16" s="346"/>
      <c r="M16" s="347"/>
      <c r="O16" s="226" t="str">
        <f>IF(P16=1, "&lt;===", "")</f>
        <v/>
      </c>
      <c r="P16" s="227" t="str">
        <f>IF(AND(D16="", D349&lt;&gt;""), 1, "")</f>
        <v/>
      </c>
      <c r="R16" s="3" t="s">
        <v>82</v>
      </c>
      <c r="S16" s="3">
        <f>IF(AND(N108&lt;70%,N108&lt;&gt;0%),83,14)</f>
        <v>14</v>
      </c>
      <c r="T16" s="217"/>
    </row>
    <row r="17" spans="2:20" x14ac:dyDescent="0.25">
      <c r="P17" s="3"/>
      <c r="R17" s="3" t="s">
        <v>83</v>
      </c>
      <c r="S17" s="3">
        <f>IF(AND(N145&lt;100%,N145&lt;&gt;0%),32,14)</f>
        <v>14</v>
      </c>
      <c r="T17" s="217"/>
    </row>
    <row r="18" spans="2:20" ht="18.75" customHeight="1" x14ac:dyDescent="0.25">
      <c r="B18" s="2"/>
      <c r="C18" s="18" t="s">
        <v>7</v>
      </c>
      <c r="D18" s="345" t="s">
        <v>112</v>
      </c>
      <c r="E18" s="347"/>
      <c r="F18" s="384" t="s">
        <v>8</v>
      </c>
      <c r="G18" s="385"/>
      <c r="H18" s="103" t="s">
        <v>113</v>
      </c>
      <c r="O18" s="226" t="str">
        <f>IF(P18=1, "&lt;===", "")</f>
        <v/>
      </c>
      <c r="P18" s="227" t="str">
        <f>IF(OR(AND(D18="", D349&lt;&gt;""), AND(H18="",D349&lt;&gt;"")), 1, "")</f>
        <v/>
      </c>
      <c r="R18" s="3" t="s">
        <v>84</v>
      </c>
      <c r="S18" s="3">
        <f>IF(AND(N182&lt;100%,N182&lt;&gt;0%),32,14)</f>
        <v>32</v>
      </c>
      <c r="T18" s="217"/>
    </row>
    <row r="19" spans="2:20" x14ac:dyDescent="0.25">
      <c r="P19" s="3"/>
      <c r="R19" s="3" t="s">
        <v>85</v>
      </c>
      <c r="S19" s="3">
        <f>IF(OR(G228=1,G228=2),14,IF(OR(G228=3,G228=4),33,IF(OR(G228=5,G228=6),51,IF(OR(G228=7,G228=8),69,IF(OR(G228=9,G228=10),87,14)))))</f>
        <v>14</v>
      </c>
      <c r="T19" s="217"/>
    </row>
    <row r="20" spans="2:20" x14ac:dyDescent="0.25">
      <c r="P20" s="3"/>
      <c r="R20" s="3"/>
      <c r="S20" s="3"/>
      <c r="T20" s="217"/>
    </row>
    <row r="21" spans="2:20" ht="18.75" x14ac:dyDescent="0.25">
      <c r="C21" s="83" t="s">
        <v>34</v>
      </c>
      <c r="D21" s="391" t="s">
        <v>114</v>
      </c>
      <c r="E21" s="391"/>
      <c r="F21" s="391"/>
      <c r="O21" s="226" t="str">
        <f>IF(P21=1, "&lt;===", "")</f>
        <v/>
      </c>
      <c r="P21" s="227" t="str">
        <f>IF(AND(D21="Please Select", D349&lt;&gt;""), 1, "")</f>
        <v/>
      </c>
      <c r="R21" s="3" t="s">
        <v>87</v>
      </c>
      <c r="S21" s="3">
        <f>IF(G196&lt;&gt;"",14,14)</f>
        <v>14</v>
      </c>
      <c r="T21" s="217"/>
    </row>
    <row r="22" spans="2:20" x14ac:dyDescent="0.25">
      <c r="P22" s="3"/>
      <c r="R22" s="3" t="s">
        <v>88</v>
      </c>
      <c r="S22" s="3">
        <f>IF(G296&lt;&gt;"",14,14)</f>
        <v>14</v>
      </c>
      <c r="T22" s="217"/>
    </row>
    <row r="24" spans="2:20" x14ac:dyDescent="0.25">
      <c r="R24" s="225"/>
    </row>
    <row r="25" spans="2:20" ht="43.5" customHeight="1" x14ac:dyDescent="0.25">
      <c r="C25" s="229" t="str">
        <f>"Have there been graduates for 
the " &amp;D4 &amp; " year?"</f>
        <v>Have there been graduates for 
the 2017 year?</v>
      </c>
      <c r="D25" s="394" t="s">
        <v>110</v>
      </c>
      <c r="E25" s="394"/>
      <c r="F25" s="99"/>
      <c r="G25" s="361" t="str">
        <f>IF(D25="No","The previous reporting outcomes should remain on the sponsor's website with an added statement: 'No graduates during the " &amp;D4 &amp; " reporting year'","")</f>
        <v/>
      </c>
      <c r="H25" s="361"/>
      <c r="I25" s="361"/>
      <c r="J25" s="361"/>
      <c r="K25" s="361"/>
      <c r="L25" s="361"/>
      <c r="M25" s="361"/>
      <c r="N25" s="231"/>
      <c r="O25" s="226" t="str">
        <f>IF(P25=1, "&lt;===", "")</f>
        <v/>
      </c>
      <c r="P25" s="227" t="str">
        <f>IF(AND(D25="Please Select", D349&lt;&gt;""), 1, "")</f>
        <v/>
      </c>
    </row>
    <row r="26" spans="2:20" x14ac:dyDescent="0.25">
      <c r="P26" s="3"/>
    </row>
    <row r="27" spans="2:20" x14ac:dyDescent="0.25">
      <c r="P27" s="3"/>
    </row>
    <row r="28" spans="2:20" ht="51.75" customHeight="1" x14ac:dyDescent="0.25">
      <c r="C28" s="360" t="s">
        <v>98</v>
      </c>
      <c r="D28" s="360"/>
      <c r="E28" s="359" t="s">
        <v>109</v>
      </c>
      <c r="F28" s="359"/>
      <c r="G28" s="359"/>
      <c r="H28" s="359"/>
      <c r="I28" s="359"/>
      <c r="J28" s="359"/>
      <c r="K28" s="359"/>
      <c r="L28" s="359"/>
      <c r="M28" s="359"/>
      <c r="N28" s="359"/>
      <c r="O28" s="232" t="str">
        <f>IF(P28=1, "&lt;===", "")</f>
        <v/>
      </c>
      <c r="P28" s="243" t="str">
        <f>IF(AND(E28="", D349&lt;&gt;""), 1, "")</f>
        <v/>
      </c>
    </row>
    <row r="30" spans="2:20" ht="15" customHeight="1" x14ac:dyDescent="0.25">
      <c r="B30" s="348" t="s">
        <v>96</v>
      </c>
      <c r="C30" s="348"/>
      <c r="D30" s="349" t="s">
        <v>95</v>
      </c>
      <c r="E30" s="349"/>
      <c r="F30" s="349"/>
      <c r="G30" s="349"/>
      <c r="H30" s="349"/>
      <c r="I30" s="349"/>
      <c r="J30" s="349"/>
      <c r="K30" s="349"/>
      <c r="L30" s="349"/>
      <c r="M30" s="349"/>
      <c r="N30" s="349"/>
    </row>
    <row r="31" spans="2:20" ht="22.5" customHeight="1" x14ac:dyDescent="0.25">
      <c r="B31" s="348"/>
      <c r="C31" s="348"/>
      <c r="D31" s="349"/>
      <c r="E31" s="349"/>
      <c r="F31" s="349"/>
      <c r="G31" s="349"/>
      <c r="H31" s="349"/>
      <c r="I31" s="349"/>
      <c r="J31" s="349"/>
      <c r="K31" s="349"/>
      <c r="L31" s="349"/>
      <c r="M31" s="349"/>
      <c r="N31" s="349"/>
    </row>
    <row r="32" spans="2:20" ht="10.5" customHeight="1" x14ac:dyDescent="0.25">
      <c r="B32" s="350"/>
      <c r="C32" s="350"/>
      <c r="D32" s="350"/>
      <c r="E32" s="350"/>
      <c r="F32" s="350"/>
      <c r="G32" s="350"/>
      <c r="H32" s="350"/>
      <c r="I32" s="350"/>
      <c r="J32" s="350"/>
      <c r="K32" s="350"/>
      <c r="L32" s="350"/>
      <c r="M32" s="350"/>
      <c r="N32" s="350"/>
    </row>
    <row r="33" spans="1:68" ht="15" customHeight="1" x14ac:dyDescent="0.25">
      <c r="B33" s="348" t="s">
        <v>97</v>
      </c>
      <c r="C33" s="348"/>
      <c r="D33" s="349" t="s">
        <v>108</v>
      </c>
      <c r="E33" s="349"/>
      <c r="F33" s="349"/>
      <c r="G33" s="349"/>
      <c r="H33" s="349"/>
      <c r="I33" s="349"/>
      <c r="J33" s="349"/>
      <c r="K33" s="349"/>
      <c r="L33" s="349"/>
      <c r="M33" s="349"/>
      <c r="N33" s="349"/>
    </row>
    <row r="34" spans="1:68" ht="34.5" customHeight="1" x14ac:dyDescent="0.25">
      <c r="B34" s="348"/>
      <c r="C34" s="348"/>
      <c r="D34" s="349"/>
      <c r="E34" s="349"/>
      <c r="F34" s="349"/>
      <c r="G34" s="349"/>
      <c r="H34" s="349"/>
      <c r="I34" s="349"/>
      <c r="J34" s="349"/>
      <c r="K34" s="349"/>
      <c r="L34" s="349"/>
      <c r="M34" s="349"/>
      <c r="N34" s="349"/>
    </row>
    <row r="36" spans="1:68" ht="44.25" customHeight="1" x14ac:dyDescent="0.25">
      <c r="B36" s="395" t="s">
        <v>5</v>
      </c>
      <c r="C36" s="395"/>
      <c r="D36" s="395"/>
      <c r="E36" s="395"/>
      <c r="F36" s="395"/>
      <c r="G36" s="395"/>
      <c r="H36" s="395"/>
      <c r="I36" s="395"/>
      <c r="J36" s="395"/>
      <c r="K36" s="395"/>
      <c r="L36" s="396" t="s">
        <v>104</v>
      </c>
      <c r="M36" s="396"/>
      <c r="N36" s="396"/>
    </row>
    <row r="41" spans="1:68" ht="32.25" customHeight="1" x14ac:dyDescent="0.25">
      <c r="B41" s="27" t="s">
        <v>13</v>
      </c>
      <c r="C41" s="22"/>
      <c r="D41" s="22"/>
      <c r="E41" s="22"/>
      <c r="F41" s="22"/>
      <c r="G41" s="22"/>
      <c r="H41" s="22"/>
      <c r="I41" s="22"/>
      <c r="J41" s="22"/>
      <c r="K41" s="22"/>
      <c r="L41" s="22"/>
      <c r="M41" s="22"/>
      <c r="N41" s="22"/>
    </row>
    <row r="42" spans="1:68" ht="15" customHeight="1" x14ac:dyDescent="0.25">
      <c r="B42" s="19"/>
      <c r="C42" s="20">
        <f>$D$14</f>
        <v>600837</v>
      </c>
      <c r="D42" s="271" t="str">
        <f>$D$16</f>
        <v>Milwaukee Area Technical College</v>
      </c>
      <c r="E42" s="271"/>
      <c r="F42" s="271"/>
      <c r="G42" s="271"/>
      <c r="H42" s="271"/>
      <c r="I42" s="271"/>
      <c r="J42" s="271"/>
      <c r="K42" s="271"/>
      <c r="P42" s="253" t="str">
        <f>IF(P48&lt;&gt;"",$D$14,"")</f>
        <v/>
      </c>
      <c r="Q42" s="253"/>
      <c r="R42" s="255" t="str">
        <f>IF(P48&lt;&gt;"",$D$16,"")</f>
        <v/>
      </c>
      <c r="S42" s="255"/>
      <c r="T42" s="255"/>
      <c r="U42" s="255"/>
      <c r="V42" s="255"/>
      <c r="W42" s="255"/>
      <c r="X42" s="255"/>
      <c r="Y42" s="255"/>
      <c r="Z42" s="255"/>
      <c r="AA42" s="255"/>
      <c r="AI42" s="253" t="str">
        <f>IF(P48&lt;&gt;"",$D$14,"")</f>
        <v/>
      </c>
      <c r="AJ42" s="253"/>
      <c r="AK42" s="255" t="str">
        <f>IF(P48&lt;&gt;"",$D$16,"")</f>
        <v/>
      </c>
      <c r="AL42" s="255"/>
      <c r="AM42" s="255"/>
      <c r="AN42" s="255"/>
      <c r="AO42" s="255"/>
      <c r="AP42" s="255"/>
      <c r="AQ42" s="255"/>
      <c r="AR42" s="255"/>
      <c r="AS42" s="255"/>
      <c r="AT42" s="255"/>
      <c r="BB42" s="253" t="str">
        <f>IF(P48&lt;&gt;"",$D$14,"")</f>
        <v/>
      </c>
      <c r="BC42" s="253"/>
      <c r="BD42" s="280" t="str">
        <f>IF(P48&lt;&gt;"",$D$16,"")</f>
        <v/>
      </c>
      <c r="BE42" s="280"/>
      <c r="BF42" s="280"/>
      <c r="BG42" s="280"/>
      <c r="BH42" s="280"/>
      <c r="BI42" s="280"/>
      <c r="BJ42" s="280"/>
      <c r="BK42" s="280"/>
      <c r="BL42" s="444" t="str">
        <f>IF(P48&lt;&gt;"", "&lt;== Once the analysis and action plan questions 
        have been completed, CLICK HERE to proceed
        to the next section or scroll back", "")</f>
        <v/>
      </c>
      <c r="BM42" s="444"/>
      <c r="BN42" s="444"/>
      <c r="BO42" s="444"/>
      <c r="BP42" s="444"/>
    </row>
    <row r="43" spans="1:68" x14ac:dyDescent="0.25">
      <c r="E43" s="174"/>
      <c r="J43" s="351" t="str">
        <f>IF(AND(G44&lt;&gt;"", G44=0), "The Program does not have any graduates for the current annual reporting year.  Please scroll down to complete the Satellite, RAM, and General Information sections.","")</f>
        <v/>
      </c>
      <c r="K43" s="351"/>
      <c r="L43" s="351"/>
      <c r="M43" s="351"/>
      <c r="N43" s="351"/>
      <c r="R43" s="255" t="str">
        <f>IF(P48&lt;&gt;"","Retention/Attrition","")</f>
        <v/>
      </c>
      <c r="S43" s="255"/>
      <c r="T43" s="255"/>
      <c r="U43" s="255"/>
      <c r="V43" s="255"/>
      <c r="W43" s="255"/>
      <c r="AK43" s="255" t="str">
        <f>IF(P48&lt;&gt;"","Retention/Attrition","")</f>
        <v/>
      </c>
      <c r="AL43" s="255"/>
      <c r="AM43" s="255"/>
      <c r="AN43" s="255"/>
      <c r="AO43" s="255"/>
      <c r="BD43" s="255" t="str">
        <f>IF(P48&lt;&gt;"","Retention/Attrition","")</f>
        <v/>
      </c>
      <c r="BE43" s="255"/>
      <c r="BF43" s="255"/>
      <c r="BG43" s="255"/>
      <c r="BH43" s="255"/>
      <c r="BL43" s="444"/>
      <c r="BM43" s="444"/>
      <c r="BN43" s="444"/>
      <c r="BO43" s="444"/>
      <c r="BP43" s="444"/>
    </row>
    <row r="44" spans="1:68" ht="38.25" customHeight="1" x14ac:dyDescent="0.25">
      <c r="B44" s="387" t="str">
        <f>"Number of cohorts that graduated in " &amp;D4 &amp; ":"</f>
        <v>Number of cohorts that graduated in 2017:</v>
      </c>
      <c r="C44" s="387"/>
      <c r="D44" s="387"/>
      <c r="E44" s="387"/>
      <c r="F44" s="388"/>
      <c r="G44" s="308">
        <v>2</v>
      </c>
      <c r="H44" s="309"/>
      <c r="J44" s="351"/>
      <c r="K44" s="351"/>
      <c r="L44" s="351"/>
      <c r="M44" s="351"/>
      <c r="N44" s="351"/>
      <c r="O44" s="232" t="str">
        <f>IF(P44=1, "&lt;===", "")</f>
        <v/>
      </c>
      <c r="P44" s="227" t="str">
        <f>IF(AND(G44="Please Select", D349&lt;&gt;""), 1, "")</f>
        <v/>
      </c>
      <c r="BL44" s="444"/>
      <c r="BM44" s="444"/>
      <c r="BN44" s="444"/>
      <c r="BO44" s="444"/>
      <c r="BP44" s="444"/>
    </row>
    <row r="45" spans="1:68" ht="18.75" customHeight="1" x14ac:dyDescent="0.25">
      <c r="J45" s="351"/>
      <c r="K45" s="351"/>
      <c r="L45" s="351"/>
      <c r="M45" s="351"/>
      <c r="N45" s="351"/>
    </row>
    <row r="47" spans="1:68" s="15" customFormat="1" ht="23.25" customHeight="1" x14ac:dyDescent="0.25">
      <c r="A47" s="219"/>
      <c r="B47" s="39" t="s">
        <v>30</v>
      </c>
      <c r="C47" s="33"/>
      <c r="D47" s="33"/>
      <c r="E47" s="33"/>
      <c r="F47" s="33"/>
      <c r="G47" s="33"/>
      <c r="H47" s="33"/>
      <c r="I47" s="33"/>
      <c r="J47" s="33"/>
      <c r="K47" s="33"/>
      <c r="L47" s="33"/>
      <c r="M47" s="33"/>
      <c r="N47" s="34"/>
      <c r="P47" s="233"/>
    </row>
    <row r="48" spans="1:68" ht="74.25" customHeight="1" x14ac:dyDescent="0.25">
      <c r="B48" s="365" t="str">
        <f>"The Retention threshold set by the CoAEMSP is 70% and based on the percentage of students who started on the enrollment date (who began Paramedic coursework) who are enrolled and graduated.  The success of Retention" &amp;" will be computed using the total number of students that completed in the most recent reporting year ("&amp;D4&amp;") and is calculated by determining Attrition (the number of students who dropped out divided by the total number of students enrolled)." &amp;"  Once the Attrition percentage has been determined, then the Retention percentage is 100% minus the Attrition percentage."</f>
        <v>The Retention threshold set by the CoAEMSP is 70% and based on the percentage of students who started on the enrollment date (who began Paramedic coursework) who are enrolled and graduated.  The success of Retention will be computed using the total number of students that completed in the most recent reporting year (2017) and is calculated by determining Attrition (the number of students who dropped out divided by the total number of students enrolled).  Once the Attrition percentage has been determined, then the Retention percentage is 100% minus the Attrition percentage.</v>
      </c>
      <c r="C48" s="366"/>
      <c r="D48" s="366"/>
      <c r="E48" s="366"/>
      <c r="F48" s="366"/>
      <c r="G48" s="366"/>
      <c r="H48" s="366"/>
      <c r="I48" s="366"/>
      <c r="J48" s="366"/>
      <c r="K48" s="366"/>
      <c r="L48" s="366"/>
      <c r="M48" s="366"/>
      <c r="N48" s="367"/>
      <c r="P48" s="250" t="str">
        <f>IF(AND(B67="The outcome threshold of 70% has not been met.  
Please complete the analysis and action plan questions to the right ==&gt;.",B68=""),"1)","")</f>
        <v/>
      </c>
      <c r="Q48" s="337" t="str">
        <f>IF(P48&lt;&gt;"","Specifically at what point at the start of the Paramedic program do you take the official count of students in the program?","")</f>
        <v/>
      </c>
      <c r="R48" s="337"/>
      <c r="S48" s="337"/>
      <c r="T48" s="337"/>
      <c r="U48" s="337"/>
      <c r="V48" s="337"/>
      <c r="W48" s="337"/>
      <c r="Y48" s="10" t="str">
        <f>IF(P48&lt;&gt;"","4)","")</f>
        <v/>
      </c>
      <c r="Z48" s="257" t="str">
        <f>IF(P48&lt;&gt;"","During the admissions process, are the students adequately informed of the demands of the program and the profession (e.g., academic, time commitment, types of skills to be performed)?","")</f>
        <v/>
      </c>
      <c r="AA48" s="257"/>
      <c r="AB48" s="257"/>
      <c r="AC48" s="257"/>
      <c r="AD48" s="257"/>
      <c r="AE48" s="257"/>
      <c r="AF48" s="257"/>
      <c r="AH48" s="10" t="str">
        <f>IF(P48&lt;&gt;"","7)","")</f>
        <v/>
      </c>
      <c r="AI48" s="257" t="str">
        <f>IF(P48&lt;&gt;"","Does the program have standardized admissions testing?","")</f>
        <v/>
      </c>
      <c r="AJ48" s="257"/>
      <c r="AK48" s="257"/>
      <c r="AL48" s="257"/>
      <c r="AM48" s="257"/>
      <c r="AN48" s="257"/>
      <c r="AO48" s="257"/>
      <c r="AQ48" s="10" t="str">
        <f>IF(AI49="Please Select","",IF(AI49="Yes","10)",IF(AI49="No","8)","")))</f>
        <v/>
      </c>
      <c r="AR48" s="257" t="str">
        <f>IF(AI49="Please Select","",IF(AI49="Yes","Is there a pattern or trend associated with attrition due to EMS / professional courses and/or general education courses over a 3-year period?",IF(AI49="No","Is there a pattern or trend associated with attrition due to EMS / professional courses and/or general education courses over a 3-year period?","")))</f>
        <v/>
      </c>
      <c r="AS48" s="257"/>
      <c r="AT48" s="257"/>
      <c r="AU48" s="257"/>
      <c r="AV48" s="257"/>
      <c r="AW48" s="257"/>
      <c r="AX48" s="257"/>
      <c r="AZ48" s="10" t="str">
        <f>IF(AI49="Please Select","",IF(AI49="Yes","12)",IF(AI49="No","10)","")))</f>
        <v/>
      </c>
      <c r="BA48" s="257" t="str">
        <f>IF(AI49="Please Select","",IF(AI49="Yes","Is there a pattern or trend associated with attrition due to particular non-academic reasons?",IF(AI49="No","Is there a pattern or trend associated with attrition due to particular non-academic reasons?","")))</f>
        <v/>
      </c>
      <c r="BB48" s="257"/>
      <c r="BC48" s="257"/>
      <c r="BD48" s="257"/>
      <c r="BE48" s="257"/>
      <c r="BF48" s="257"/>
      <c r="BG48" s="257"/>
      <c r="BI48" s="10" t="str">
        <f>IF(AI49="Please Select","",IF(AI49="Yes","14)",IF(AI49="No","12)","")))</f>
        <v/>
      </c>
      <c r="BJ48" s="257" t="str">
        <f>IF(AI49="Please Select","",IF(AI49="Yes","List specific conclusions resulting from your analysis:",IF(AI49="No","List specific conclusions resulting from your analysis:","")))</f>
        <v/>
      </c>
      <c r="BK48" s="257"/>
      <c r="BL48" s="257"/>
      <c r="BM48" s="257"/>
      <c r="BN48" s="257"/>
      <c r="BO48" s="257"/>
      <c r="BP48" s="257"/>
    </row>
    <row r="49" spans="2:68" ht="30" x14ac:dyDescent="0.25">
      <c r="B49" s="362" t="s">
        <v>29</v>
      </c>
      <c r="C49" s="363"/>
      <c r="D49" s="364"/>
      <c r="E49" s="23" t="str">
        <f>IF(AND($G$44&gt;=1,$G$44&lt;&gt;"Please Select"),"Cohort 
#1:","")</f>
        <v>Cohort 
#1:</v>
      </c>
      <c r="F49" s="24" t="str">
        <f>IF(AND($G$44&gt;=2,$G$44&lt;&gt;"Please Select"),"Cohort 
#2:", "")</f>
        <v>Cohort 
#2:</v>
      </c>
      <c r="G49" s="24" t="str">
        <f>IF(AND($G$44&gt;=3,$G$44&lt;&gt;"Please Select"), "Cohort 
#3:","")</f>
        <v/>
      </c>
      <c r="H49" s="24" t="str">
        <f>IF(AND($G$44&gt;=4,$G$44&lt;&gt;"Please Select"), "Cohort 
#4:","")</f>
        <v/>
      </c>
      <c r="I49" s="24" t="str">
        <f>IF(AND($G$44&gt;=5,$G$44&lt;&gt;"Please Select"), "Cohort 
#5:","")</f>
        <v/>
      </c>
      <c r="J49" s="24" t="str">
        <f>IF(AND($G$44&gt;=6, $G$44&lt;&gt;"Please Select"),"Cohort 
#6:","")</f>
        <v/>
      </c>
      <c r="K49" s="24" t="str">
        <f>IF(AND($G$44&gt;=7,$G$44&lt;&gt;"Please Select"), "Cohort 
#7:","")</f>
        <v/>
      </c>
      <c r="L49" s="24" t="str">
        <f>IF(AND($G$44&gt;=8, $G$44&lt;&gt;"Please Select"),"Cohort 
#8:","")</f>
        <v/>
      </c>
      <c r="M49" s="24" t="str">
        <f>IF(AND($G$44&gt;=9,$G$44&lt;&gt;"Please Select"), "Cohort 
#9:","")</f>
        <v/>
      </c>
      <c r="N49" s="24" t="s">
        <v>18</v>
      </c>
      <c r="P49" s="235"/>
      <c r="Q49" s="259" t="str">
        <f>IF(P48&lt;&gt;"","Please Select","")</f>
        <v/>
      </c>
      <c r="R49" s="259"/>
      <c r="S49" s="259"/>
      <c r="T49" s="259"/>
      <c r="U49" s="15"/>
      <c r="V49" s="15"/>
      <c r="W49" s="15"/>
      <c r="Z49" s="259" t="str">
        <f>IF(P48&lt;&gt;"","Please Select","")</f>
        <v/>
      </c>
      <c r="AA49" s="259"/>
      <c r="AI49" s="259" t="str">
        <f>IF(P48&lt;&gt;"","Please Select","")</f>
        <v/>
      </c>
      <c r="AJ49" s="259"/>
      <c r="AR49" s="259" t="str">
        <f>IF(AQ48&lt;&gt;"", "Please Select", "")</f>
        <v/>
      </c>
      <c r="AS49" s="259"/>
      <c r="BA49" s="259" t="str">
        <f>IF(AQ48&lt;&gt;"","Please Select","")</f>
        <v/>
      </c>
      <c r="BB49" s="259"/>
      <c r="BJ49" s="270"/>
      <c r="BK49" s="270"/>
      <c r="BL49" s="270"/>
      <c r="BM49" s="270"/>
      <c r="BN49" s="270"/>
      <c r="BO49" s="270"/>
      <c r="BP49" s="270"/>
    </row>
    <row r="50" spans="2:68" ht="18" customHeight="1" x14ac:dyDescent="0.25">
      <c r="B50" s="60" t="s">
        <v>21</v>
      </c>
      <c r="C50" s="59"/>
      <c r="D50" s="221" t="s">
        <v>91</v>
      </c>
      <c r="E50" s="73">
        <v>42611</v>
      </c>
      <c r="F50" s="74">
        <v>42719</v>
      </c>
      <c r="G50" s="74"/>
      <c r="H50" s="74"/>
      <c r="I50" s="74"/>
      <c r="J50" s="74"/>
      <c r="K50" s="74"/>
      <c r="L50" s="74"/>
      <c r="M50" s="74"/>
      <c r="N50" s="62"/>
      <c r="BJ50" s="270"/>
      <c r="BK50" s="270"/>
      <c r="BL50" s="270"/>
      <c r="BM50" s="270"/>
      <c r="BN50" s="270"/>
      <c r="BO50" s="270"/>
      <c r="BP50" s="270"/>
    </row>
    <row r="51" spans="2:68" ht="18" customHeight="1" x14ac:dyDescent="0.25">
      <c r="B51" s="316" t="s">
        <v>14</v>
      </c>
      <c r="C51" s="317"/>
      <c r="D51" s="222" t="s">
        <v>91</v>
      </c>
      <c r="E51" s="63">
        <v>42852</v>
      </c>
      <c r="F51" s="63">
        <v>42916</v>
      </c>
      <c r="G51" s="63"/>
      <c r="H51" s="63"/>
      <c r="I51" s="63"/>
      <c r="J51" s="63"/>
      <c r="K51" s="63"/>
      <c r="L51" s="63"/>
      <c r="M51" s="63"/>
      <c r="N51" s="64"/>
      <c r="O51" s="43"/>
      <c r="P51" s="236"/>
      <c r="AK51" s="5"/>
      <c r="AR51" s="6"/>
      <c r="AS51" s="6"/>
      <c r="AT51" s="6"/>
      <c r="AU51" s="6"/>
      <c r="AV51" s="6"/>
      <c r="AW51" s="6"/>
      <c r="AX51" s="6"/>
      <c r="BJ51" s="270"/>
      <c r="BK51" s="270"/>
      <c r="BL51" s="270"/>
      <c r="BM51" s="270"/>
      <c r="BN51" s="270"/>
      <c r="BO51" s="270"/>
      <c r="BP51" s="270"/>
    </row>
    <row r="52" spans="2:68" ht="18" customHeight="1" x14ac:dyDescent="0.25">
      <c r="B52" s="251" t="s">
        <v>31</v>
      </c>
      <c r="C52" s="138"/>
      <c r="D52" s="138"/>
      <c r="E52" s="135">
        <v>18</v>
      </c>
      <c r="F52" s="136">
        <v>24</v>
      </c>
      <c r="G52" s="136"/>
      <c r="H52" s="136"/>
      <c r="I52" s="136"/>
      <c r="J52" s="136"/>
      <c r="K52" s="136"/>
      <c r="L52" s="136"/>
      <c r="M52" s="136"/>
      <c r="N52" s="137">
        <f>IF(SUM(E52:M52)=0,"",SUM(E52:M52))</f>
        <v>42</v>
      </c>
      <c r="P52" s="237" t="str">
        <f>IF(P48&lt;&gt;"","2)","")</f>
        <v/>
      </c>
      <c r="Q52" s="257" t="str">
        <f>IF(P48&lt;&gt;"","Do you have a selective admissions process?","")</f>
        <v/>
      </c>
      <c r="R52" s="257"/>
      <c r="S52" s="257"/>
      <c r="T52" s="257"/>
      <c r="U52" s="257"/>
      <c r="V52" s="257"/>
      <c r="W52" s="257"/>
      <c r="Y52" s="85" t="str">
        <f>IF(AND(N66&lt;&gt;0,N66&lt;0.7,B68=""),"5)","")</f>
        <v/>
      </c>
      <c r="Z52" s="256" t="str">
        <f>IF(P48&lt;&gt;"","During the admissions process, are students apprised of the professional behavior expectations of the program and profession (i.e., affective domain)?","")</f>
        <v/>
      </c>
      <c r="AA52" s="256"/>
      <c r="AB52" s="256"/>
      <c r="AC52" s="256"/>
      <c r="AD52" s="256"/>
      <c r="AE52" s="256"/>
      <c r="AF52" s="256"/>
      <c r="AH52" s="10" t="str">
        <f>IF(AI49="Yes","8)","")</f>
        <v/>
      </c>
      <c r="AI52" s="256" t="str">
        <f>IF(AI49="Yes","Are the standardized tests/assessments used only to place students in appropriate writing and/or reading and/or math courses?",IF(AI49="No","          Proceed to next question to the right ==&gt;",""))</f>
        <v/>
      </c>
      <c r="AJ52" s="256"/>
      <c r="AK52" s="256"/>
      <c r="AL52" s="256"/>
      <c r="AM52" s="256"/>
      <c r="AN52" s="256"/>
      <c r="AO52" s="256"/>
      <c r="AQ52" s="10" t="str">
        <f>IF(AND(P48="",AI49="Please Select"),"",IF(AND(P48&lt;&gt;"",AI49="Yes"),"11)",IF(AND(P48&lt;&gt;"",AI49="No"),"9)","")))</f>
        <v/>
      </c>
      <c r="AR52" s="256" t="str">
        <f>IF(AI49="Please Select","",IF(AI49="Yes","Is there a particular course(s) or content area(s) that causes the high attrition?",IF(AI49="No","Is there a particular course(s) or content area(s) that causes the high attrition?","")))</f>
        <v/>
      </c>
      <c r="AS52" s="256"/>
      <c r="AT52" s="256"/>
      <c r="AU52" s="256"/>
      <c r="AV52" s="256"/>
      <c r="AW52" s="256"/>
      <c r="AX52" s="256"/>
      <c r="AZ52" s="10" t="str">
        <f>IF(AI49="Please Select","",IF(AI49="Yes","13)",IF(AI49="No","11)","")))</f>
        <v/>
      </c>
      <c r="BA52" s="287" t="str">
        <f>IF(AI49="Please Select","",IF(AI49="Yes","Is there high attrition due to disciplinary actions?",IF(AI49="No","Is there high attrition due to disciplinary actions?","")))</f>
        <v/>
      </c>
      <c r="BB52" s="287"/>
      <c r="BC52" s="287"/>
      <c r="BD52" s="287"/>
      <c r="BE52" s="287"/>
      <c r="BF52" s="287"/>
      <c r="BG52" s="287"/>
      <c r="BJ52" s="270"/>
      <c r="BK52" s="270"/>
      <c r="BL52" s="270"/>
      <c r="BM52" s="270"/>
      <c r="BN52" s="270"/>
      <c r="BO52" s="270"/>
      <c r="BP52" s="270"/>
    </row>
    <row r="53" spans="2:68" ht="44.25" customHeight="1" x14ac:dyDescent="0.25">
      <c r="B53" s="314" t="s">
        <v>92</v>
      </c>
      <c r="C53" s="315"/>
      <c r="D53" s="315"/>
      <c r="E53" s="315"/>
      <c r="F53" s="315"/>
      <c r="G53" s="315"/>
      <c r="H53" s="315"/>
      <c r="I53" s="315"/>
      <c r="J53" s="315"/>
      <c r="K53" s="315"/>
      <c r="L53" s="315"/>
      <c r="M53" s="315"/>
      <c r="N53" s="57"/>
      <c r="P53" s="235"/>
      <c r="Q53" s="259" t="str">
        <f>IF(P48&lt;&gt;"","Please Select","")</f>
        <v/>
      </c>
      <c r="R53" s="259"/>
      <c r="S53" s="81"/>
      <c r="T53" s="81"/>
      <c r="U53" s="81"/>
      <c r="V53" s="81"/>
      <c r="W53" s="81"/>
      <c r="Z53" s="256"/>
      <c r="AA53" s="256"/>
      <c r="AB53" s="256"/>
      <c r="AC53" s="256"/>
      <c r="AD53" s="256"/>
      <c r="AE53" s="256"/>
      <c r="AF53" s="256"/>
      <c r="AI53" s="256"/>
      <c r="AJ53" s="256"/>
      <c r="AK53" s="256"/>
      <c r="AL53" s="256"/>
      <c r="AM53" s="256"/>
      <c r="AN53" s="256"/>
      <c r="AO53" s="256"/>
      <c r="AR53" s="256"/>
      <c r="AS53" s="256"/>
      <c r="AT53" s="256"/>
      <c r="AU53" s="256"/>
      <c r="AV53" s="256"/>
      <c r="AW53" s="256"/>
      <c r="AX53" s="256"/>
      <c r="BA53" s="259" t="str">
        <f>IF(AQ48&lt;&gt;"","Please Select","")</f>
        <v/>
      </c>
      <c r="BB53" s="259"/>
      <c r="BJ53" s="270"/>
      <c r="BK53" s="270"/>
      <c r="BL53" s="270"/>
      <c r="BM53" s="270"/>
      <c r="BN53" s="270"/>
      <c r="BO53" s="270"/>
      <c r="BP53" s="270"/>
    </row>
    <row r="54" spans="2:68" ht="18" customHeight="1" x14ac:dyDescent="0.25">
      <c r="B54" s="61"/>
      <c r="C54" s="175" t="s">
        <v>39</v>
      </c>
      <c r="D54" s="59"/>
      <c r="E54" s="178">
        <v>2</v>
      </c>
      <c r="F54" s="179">
        <v>5</v>
      </c>
      <c r="G54" s="179"/>
      <c r="H54" s="179"/>
      <c r="I54" s="179"/>
      <c r="J54" s="179"/>
      <c r="K54" s="179"/>
      <c r="L54" s="179"/>
      <c r="M54" s="179"/>
      <c r="N54" s="194">
        <f>IF(COUNT(E54:M54),SUM(E54:M54),"")</f>
        <v>7</v>
      </c>
      <c r="O54" s="242" t="str">
        <f>IF(P54=1, "&lt;===", "")</f>
        <v/>
      </c>
      <c r="P54" s="244" t="str">
        <f>IF(OR(AND(E52&lt;&gt;"",E54="",D349&lt;&gt;""),AND(F52&lt;&gt;"",F54="",D349&lt;&gt;""),AND(G52&lt;&gt;"",G54="",D349&lt;&gt;""),AND(H52&lt;&gt;"",H54="",D349&lt;&gt;""),AND(I52&lt;&gt;"",I54="",D349&lt;&gt;""),AND(J52&lt;&gt;"",J54="",D349&lt;&gt;""),AND(K52&lt;&gt;"",K54="",D349&lt;&gt;""),AND(L52&lt;&gt;"",L54="",D349&lt;&gt;""),AND(M52&lt;&gt;"",M54="",D349&lt;&gt;"")), 1, "")</f>
        <v/>
      </c>
      <c r="Q54" s="81"/>
      <c r="R54" s="81"/>
      <c r="S54" s="81"/>
      <c r="T54" s="81"/>
      <c r="U54" s="81"/>
      <c r="V54" s="81"/>
      <c r="W54" s="81"/>
      <c r="Z54" s="256"/>
      <c r="AA54" s="256"/>
      <c r="AB54" s="256"/>
      <c r="AC54" s="256"/>
      <c r="AD54" s="256"/>
      <c r="AE54" s="256"/>
      <c r="AF54" s="256"/>
      <c r="AI54" s="259" t="str">
        <f>IF(AI49="Yes","Please Select","")</f>
        <v/>
      </c>
      <c r="AJ54" s="259"/>
      <c r="AK54" s="81"/>
      <c r="AL54" s="81"/>
      <c r="AM54" s="81"/>
      <c r="AN54" s="81"/>
      <c r="AO54" s="81"/>
      <c r="AR54" s="259" t="str">
        <f>IF(AQ48&lt;&gt;"","Please Select","")</f>
        <v/>
      </c>
      <c r="AS54" s="259"/>
      <c r="AT54" s="6"/>
      <c r="AU54" s="6"/>
      <c r="AV54" s="6"/>
      <c r="AW54" s="6"/>
      <c r="AX54" s="6"/>
      <c r="BJ54" s="270"/>
      <c r="BK54" s="270"/>
      <c r="BL54" s="270"/>
      <c r="BM54" s="270"/>
      <c r="BN54" s="270"/>
      <c r="BO54" s="270"/>
      <c r="BP54" s="270"/>
    </row>
    <row r="55" spans="2:68" ht="18" customHeight="1" x14ac:dyDescent="0.25">
      <c r="B55" s="41"/>
      <c r="C55" s="176" t="s">
        <v>40</v>
      </c>
      <c r="D55" s="57"/>
      <c r="E55" s="180">
        <v>0</v>
      </c>
      <c r="F55" s="180">
        <v>0</v>
      </c>
      <c r="G55" s="180"/>
      <c r="H55" s="180"/>
      <c r="I55" s="180"/>
      <c r="J55" s="180"/>
      <c r="K55" s="180"/>
      <c r="L55" s="180"/>
      <c r="M55" s="180"/>
      <c r="N55" s="69">
        <f>IF(COUNT(E55:M55),SUM(E55:M55),"")</f>
        <v>0</v>
      </c>
      <c r="O55" s="242" t="str">
        <f>IF(P55=1, "&lt;===", "")</f>
        <v/>
      </c>
      <c r="P55" s="245" t="str">
        <f>IF(OR(AND(E52&lt;&gt;"",E55="",D349&lt;&gt;""),AND(F52&lt;&gt;"",F55="",D349&lt;&gt;""),AND(G52&lt;&gt;"",G55="",D349&lt;&gt;""),AND(H52&lt;&gt;"",H55="",D349&lt;&gt;""),AND(I52&lt;&gt;"",I55="",D349&lt;&gt;""),AND(J52&lt;&gt;"",J55="",D349&lt;&gt;""),AND(K52&lt;&gt;"",K55="",D349&lt;&gt;""),AND(L52&lt;&gt;"",L55="",D349&lt;&gt;""),AND(M52&lt;&gt;"",M55="",D349&lt;&gt;"")), 1, "")</f>
        <v/>
      </c>
      <c r="Q55" s="3" t="str">
        <f>IF(OR(AND(E52&lt;&gt;"",E56="",D349&lt;&gt;""),AND(F52&lt;&gt;"",F56="",D349&lt;&gt;""),AND(G52&lt;&gt;"",G56="",D349&lt;&gt;""),AND(H52&lt;&gt;"",H56="",D349&lt;&gt;""),AND(I52&lt;&gt;"",I56="",D349&lt;&gt;""),AND(J52&lt;&gt;"",J56="",D349&lt;&gt;""),AND(K52&lt;&gt;"",K56="",D349&lt;&gt;""),AND(L52&lt;&gt;"",L56="",D349&lt;&gt;""),AND(M52&lt;&gt;"",M56="",D349&lt;&gt;"")), 1, "")</f>
        <v/>
      </c>
      <c r="Z55" s="259" t="str">
        <f>IF(P48&lt;&gt;"","Please Select","")</f>
        <v/>
      </c>
      <c r="AA55" s="259"/>
      <c r="AK55" s="5"/>
      <c r="AR55" s="6"/>
      <c r="AS55" s="6"/>
      <c r="AT55" s="6"/>
      <c r="AU55" s="6"/>
      <c r="AV55" s="6"/>
      <c r="AW55" s="6"/>
      <c r="AX55" s="6"/>
      <c r="BA55" s="337" t="str">
        <f>IF(BA53="Yes", "Is there a pattern or trend (e.g., common behaviors) associated with the attrition due to disciplinary action(s)?","")</f>
        <v/>
      </c>
      <c r="BB55" s="337"/>
      <c r="BC55" s="337"/>
      <c r="BD55" s="337"/>
      <c r="BE55" s="337"/>
      <c r="BF55" s="337"/>
      <c r="BG55" s="337"/>
      <c r="BJ55" s="270"/>
      <c r="BK55" s="270"/>
      <c r="BL55" s="270"/>
      <c r="BM55" s="270"/>
      <c r="BN55" s="270"/>
      <c r="BO55" s="270"/>
      <c r="BP55" s="270"/>
    </row>
    <row r="56" spans="2:68" ht="18" customHeight="1" x14ac:dyDescent="0.25">
      <c r="B56" s="61"/>
      <c r="C56" s="175" t="s">
        <v>41</v>
      </c>
      <c r="D56" s="58"/>
      <c r="E56" s="181">
        <v>0</v>
      </c>
      <c r="F56" s="181">
        <v>0</v>
      </c>
      <c r="G56" s="181"/>
      <c r="H56" s="181"/>
      <c r="I56" s="181"/>
      <c r="J56" s="181"/>
      <c r="K56" s="181"/>
      <c r="L56" s="181"/>
      <c r="M56" s="181"/>
      <c r="N56" s="68">
        <f>IF(COUNT(E56:M56),SUM(E56:M56),"")</f>
        <v>0</v>
      </c>
      <c r="O56" s="242" t="str">
        <f>IF(Q55=1, "&lt;===", "")</f>
        <v/>
      </c>
      <c r="P56" s="237" t="str">
        <f>IF(P48&lt;&gt;"","3)","")</f>
        <v/>
      </c>
      <c r="Q56" s="341" t="str">
        <f>IF(P48&lt;&gt;"","Could there be changes to the admissions process to improve retention?","")</f>
        <v/>
      </c>
      <c r="R56" s="341"/>
      <c r="S56" s="341"/>
      <c r="T56" s="341"/>
      <c r="U56" s="341"/>
      <c r="V56" s="341"/>
      <c r="W56" s="341"/>
      <c r="AR56" s="88"/>
      <c r="AS56" s="88"/>
      <c r="AT56" s="88"/>
      <c r="AU56" s="88"/>
      <c r="AV56" s="88"/>
      <c r="AW56" s="88"/>
      <c r="AX56" s="88"/>
      <c r="BA56" s="337"/>
      <c r="BB56" s="337"/>
      <c r="BC56" s="337"/>
      <c r="BD56" s="337"/>
      <c r="BE56" s="337"/>
      <c r="BF56" s="337"/>
      <c r="BG56" s="337"/>
      <c r="BJ56" s="270"/>
      <c r="BK56" s="270"/>
      <c r="BL56" s="270"/>
      <c r="BM56" s="270"/>
      <c r="BN56" s="270"/>
      <c r="BO56" s="270"/>
      <c r="BP56" s="270"/>
    </row>
    <row r="57" spans="2:68" ht="25.5" customHeight="1" x14ac:dyDescent="0.25">
      <c r="B57" s="177" t="s">
        <v>68</v>
      </c>
      <c r="C57" s="25"/>
      <c r="D57" s="25"/>
      <c r="E57" s="213">
        <f>IF(OR(E54="",E55="",E56=""),"",SUM(E54:E56))</f>
        <v>2</v>
      </c>
      <c r="F57" s="213">
        <f t="shared" ref="F57:M57" si="0">IF(OR(F54="",F55="",F56=""),"",SUM(F54:F56))</f>
        <v>5</v>
      </c>
      <c r="G57" s="213" t="str">
        <f t="shared" si="0"/>
        <v/>
      </c>
      <c r="H57" s="213" t="str">
        <f t="shared" si="0"/>
        <v/>
      </c>
      <c r="I57" s="213" t="str">
        <f t="shared" si="0"/>
        <v/>
      </c>
      <c r="J57" s="213" t="str">
        <f t="shared" si="0"/>
        <v/>
      </c>
      <c r="K57" s="213" t="str">
        <f t="shared" si="0"/>
        <v/>
      </c>
      <c r="L57" s="213" t="str">
        <f t="shared" si="0"/>
        <v/>
      </c>
      <c r="M57" s="213" t="str">
        <f t="shared" si="0"/>
        <v/>
      </c>
      <c r="N57" s="211">
        <f>IF(COUNT(N54:N56),SUM(N54:N56),"")</f>
        <v>7</v>
      </c>
      <c r="Q57" s="259" t="str">
        <f>IF(P48&lt;&gt;"","Please Select","")</f>
        <v/>
      </c>
      <c r="R57" s="259"/>
      <c r="S57" s="84"/>
      <c r="T57" s="84"/>
      <c r="U57" s="84"/>
      <c r="V57" s="84"/>
      <c r="W57" s="84"/>
      <c r="AR57" s="88"/>
      <c r="AS57" s="88"/>
      <c r="AT57" s="88"/>
      <c r="AU57" s="88"/>
      <c r="AV57" s="88"/>
      <c r="AW57" s="88"/>
      <c r="AX57" s="88"/>
      <c r="BA57" s="259" t="str">
        <f>IF(BA53="Yes","Please Select",IF(BA53="No","",""))</f>
        <v/>
      </c>
      <c r="BB57" s="259"/>
      <c r="BJ57" s="270"/>
      <c r="BK57" s="270"/>
      <c r="BL57" s="270"/>
      <c r="BM57" s="270"/>
      <c r="BN57" s="270"/>
      <c r="BO57" s="270"/>
      <c r="BP57" s="270"/>
    </row>
    <row r="58" spans="2:68" ht="44.25" customHeight="1" x14ac:dyDescent="0.25">
      <c r="B58" s="314" t="s">
        <v>64</v>
      </c>
      <c r="C58" s="315"/>
      <c r="D58" s="315"/>
      <c r="E58" s="315"/>
      <c r="F58" s="315"/>
      <c r="G58" s="315"/>
      <c r="H58" s="315"/>
      <c r="I58" s="315"/>
      <c r="J58" s="315"/>
      <c r="K58" s="315"/>
      <c r="L58" s="315"/>
      <c r="M58" s="315"/>
      <c r="N58" s="195"/>
      <c r="P58" s="237"/>
      <c r="Q58" s="84"/>
      <c r="R58" s="84"/>
      <c r="S58" s="84"/>
      <c r="T58" s="84"/>
      <c r="U58" s="84"/>
      <c r="V58" s="84"/>
      <c r="W58" s="84"/>
      <c r="Y58" s="85" t="str">
        <f>IF(P48&lt;&gt;"","6)","")</f>
        <v/>
      </c>
      <c r="Z58" s="256" t="str">
        <f>IF(P48&lt;&gt;"","Is the applicant's past academic performance reviewed as part of the admissions process?","")</f>
        <v/>
      </c>
      <c r="AA58" s="256"/>
      <c r="AB58" s="256"/>
      <c r="AC58" s="256"/>
      <c r="AD58" s="256"/>
      <c r="AE58" s="256"/>
      <c r="AF58" s="256"/>
      <c r="AH58" s="10" t="str">
        <f>IF(AI49="Yes","9)","")</f>
        <v/>
      </c>
      <c r="AI58" s="256" t="str">
        <f>IF(AI49="Yes","Are the standardized tests/assessments used for admissions decisions to the Paramedic program?",IF(AI49="No","          Proceed to the next question to the right==&gt;",""))</f>
        <v/>
      </c>
      <c r="AJ58" s="256"/>
      <c r="AK58" s="256"/>
      <c r="AL58" s="256"/>
      <c r="AM58" s="256"/>
      <c r="AN58" s="256"/>
      <c r="AO58" s="256"/>
      <c r="AR58" s="256" t="str">
        <f>IF(AI49="Please Select","",IF(AND(AQ48&lt;&gt;"",AR49="Yes",AR54="Yes"),"Describe the 3-year pattern or trend and identify the particular course/content area that causes high attrition:",IF(AND(AQ48&lt;&gt;"",AR49="Yes",AR54="No"),"Describe the 3-year pattern or trend that causes high attrition:",IF(AND(AQ48&lt;&gt;"",AR49="No",AR54="Yes"),"Identify the particular course/content area that causes high attrition:",IF(AND(AQ48&lt;&gt;"",AR49="No",AR54="No"),"          Proceed to next question to the right ==&gt;","")))))</f>
        <v/>
      </c>
      <c r="AS58" s="256"/>
      <c r="AT58" s="256"/>
      <c r="AU58" s="256"/>
      <c r="AV58" s="256"/>
      <c r="AW58" s="256"/>
      <c r="AX58" s="256"/>
    </row>
    <row r="59" spans="2:68" ht="18" customHeight="1" x14ac:dyDescent="0.25">
      <c r="B59" s="61"/>
      <c r="C59" s="175" t="s">
        <v>42</v>
      </c>
      <c r="D59" s="58"/>
      <c r="E59" s="178">
        <v>1</v>
      </c>
      <c r="F59" s="178">
        <v>0</v>
      </c>
      <c r="G59" s="178"/>
      <c r="H59" s="178"/>
      <c r="I59" s="178"/>
      <c r="J59" s="178"/>
      <c r="K59" s="178"/>
      <c r="L59" s="178"/>
      <c r="M59" s="178"/>
      <c r="N59" s="196">
        <f>IF(COUNT(E59:M59),SUM(E59:M59),"")</f>
        <v>1</v>
      </c>
      <c r="O59" s="242" t="str">
        <f>IF(P59=1, "&lt;===", "")</f>
        <v/>
      </c>
      <c r="P59" s="227" t="str">
        <f>IF(OR(AND(E52&lt;&gt;"",E59="",D349&lt;&gt;""),AND(F52&lt;&gt;"",F59="",D349&lt;&gt;""),AND(G52&lt;&gt;"",G59="",D349&lt;&gt;""),AND(H52&lt;&gt;"",H59="",D349&lt;&gt;""),AND(I52&lt;&gt;"",I59="",D349&lt;&gt;""),AND(J52&lt;&gt;"",J59="",D349&lt;&gt;""),AND(K52&lt;&gt;"",K59="",D349&lt;&gt;""),AND(L52&lt;&gt;"",L59="",D349&lt;&gt;""),AND(M52&lt;&gt;"",M59="",D349&lt;&gt;"")), 1, "")</f>
        <v/>
      </c>
      <c r="Q59" s="258" t="str">
        <f>IF(P48&lt;&gt;"","Explain how your admissions process helps or hinders retention, as well as, any changes in the admissions process that would improve retention:","")</f>
        <v/>
      </c>
      <c r="R59" s="258"/>
      <c r="S59" s="258"/>
      <c r="T59" s="258"/>
      <c r="U59" s="258"/>
      <c r="V59" s="258"/>
      <c r="W59" s="258"/>
      <c r="Z59" s="256"/>
      <c r="AA59" s="256"/>
      <c r="AB59" s="256"/>
      <c r="AC59" s="256"/>
      <c r="AD59" s="256"/>
      <c r="AE59" s="256"/>
      <c r="AF59" s="256"/>
      <c r="AI59" s="256"/>
      <c r="AJ59" s="256"/>
      <c r="AK59" s="256"/>
      <c r="AL59" s="256"/>
      <c r="AM59" s="256"/>
      <c r="AN59" s="256"/>
      <c r="AO59" s="256"/>
      <c r="AR59" s="256"/>
      <c r="AS59" s="256"/>
      <c r="AT59" s="256"/>
      <c r="AU59" s="256"/>
      <c r="AV59" s="256"/>
      <c r="AW59" s="256"/>
      <c r="AX59" s="256"/>
      <c r="BA59" s="256" t="str">
        <f>IF(AI49="Please Select","",IF(AND(AZ48&lt;&gt;"",BA49="Yes",BA53="Yes"),"Describe the non-academic pattern or trend and the disciplanary action(s) that causes high attrition:",IF(AND(AZ48&lt;&gt;"",BA49="Yes",BA53="No"),"Describe the non-academic pattern or trend that causes high attrition:",IF(AND(AZ48&lt;&gt;"",BA49="No",BA53="Yes"),"Describe the disciplinary action(s) that cause high attrition:",IF(AND(AZ48&lt;&gt;"",BA49="No",BA53="No"),"          Complete additional questions to the right ==&gt;","")))))</f>
        <v/>
      </c>
      <c r="BB59" s="256"/>
      <c r="BC59" s="256"/>
      <c r="BD59" s="256"/>
      <c r="BE59" s="256"/>
      <c r="BF59" s="256"/>
      <c r="BG59" s="256"/>
      <c r="BI59" s="10" t="str">
        <f>IF(AI49="Please Select","",IF(AI49="Yes","15)",IF(AI49="No","13)","")))</f>
        <v/>
      </c>
      <c r="BJ59" s="257" t="str">
        <f>IF(AI49="Please Select","",IF(AI49="Yes","What is the program's action plan and the timetable for those actions to address each of your conclusions?",IF(AI49="No","What is the program's action plan and the timetable for those actions to address each of your conclusions?","")))</f>
        <v/>
      </c>
      <c r="BK59" s="257"/>
      <c r="BL59" s="257"/>
      <c r="BM59" s="257"/>
      <c r="BN59" s="257"/>
      <c r="BO59" s="257"/>
      <c r="BP59" s="257"/>
    </row>
    <row r="60" spans="2:68" ht="18" customHeight="1" x14ac:dyDescent="0.25">
      <c r="B60" s="41"/>
      <c r="C60" s="176" t="s">
        <v>70</v>
      </c>
      <c r="D60" s="57"/>
      <c r="E60" s="184">
        <v>0</v>
      </c>
      <c r="F60" s="184">
        <v>0</v>
      </c>
      <c r="G60" s="184"/>
      <c r="H60" s="184"/>
      <c r="I60" s="184"/>
      <c r="J60" s="184"/>
      <c r="K60" s="184"/>
      <c r="L60" s="184"/>
      <c r="M60" s="184"/>
      <c r="N60" s="70">
        <f>IF(COUNT(E60:M60),SUM(E60:M60),"")</f>
        <v>0</v>
      </c>
      <c r="O60" s="242" t="str">
        <f>IF(P60=1, "&lt;===", "")</f>
        <v/>
      </c>
      <c r="P60" s="246" t="str">
        <f>IF(OR(AND(E52&lt;&gt;"",E60="",D349&lt;&gt;""),AND(F52&lt;&gt;"",F60="",D349&lt;&gt;""),AND(G52&lt;&gt;"",G60="",D349&lt;&gt;""),AND(H52&lt;&gt;"",H60="",D349&lt;&gt;""),AND(I52&lt;&gt;"",I60="",D349&lt;&gt;""),AND(J52&lt;&gt;"",J60="",D349&lt;&gt;""),AND(K52&lt;&gt;"",K60="",D349&lt;&gt;""),AND(L52&lt;&gt;"",L60="",D349&lt;&gt;""),AND(M52&lt;&gt;"",M60="",D349&lt;&gt;"")), 1, "")</f>
        <v/>
      </c>
      <c r="Q60" s="258"/>
      <c r="R60" s="258"/>
      <c r="S60" s="258"/>
      <c r="T60" s="258"/>
      <c r="U60" s="258"/>
      <c r="V60" s="258"/>
      <c r="W60" s="258"/>
      <c r="Z60" s="259" t="str">
        <f>IF(P48&lt;&gt;"","Please Select","")</f>
        <v/>
      </c>
      <c r="AA60" s="259"/>
      <c r="AC60" s="260" t="str">
        <f>IF(Z60="No","Should it be?","")</f>
        <v/>
      </c>
      <c r="AD60" s="260"/>
      <c r="AE60" s="259" t="str">
        <f>IF(Z60="No","Please Select","")</f>
        <v/>
      </c>
      <c r="AF60" s="259"/>
      <c r="AI60" s="259" t="str">
        <f>IF(AI49="Yes","Please Select","")</f>
        <v/>
      </c>
      <c r="AJ60" s="259"/>
      <c r="AR60" s="270"/>
      <c r="AS60" s="270"/>
      <c r="AT60" s="270"/>
      <c r="AU60" s="270"/>
      <c r="AV60" s="270"/>
      <c r="AW60" s="270"/>
      <c r="AX60" s="270"/>
      <c r="BA60" s="256"/>
      <c r="BB60" s="256"/>
      <c r="BC60" s="256"/>
      <c r="BD60" s="256"/>
      <c r="BE60" s="256"/>
      <c r="BF60" s="256"/>
      <c r="BG60" s="256"/>
      <c r="BJ60" s="257"/>
      <c r="BK60" s="257"/>
      <c r="BL60" s="257"/>
      <c r="BM60" s="257"/>
      <c r="BN60" s="257"/>
      <c r="BO60" s="257"/>
      <c r="BP60" s="257"/>
    </row>
    <row r="61" spans="2:68" ht="18" customHeight="1" x14ac:dyDescent="0.25">
      <c r="B61" s="61"/>
      <c r="C61" s="175" t="s">
        <v>71</v>
      </c>
      <c r="D61" s="58"/>
      <c r="E61" s="183">
        <v>0</v>
      </c>
      <c r="F61" s="183">
        <v>0</v>
      </c>
      <c r="G61" s="183"/>
      <c r="H61" s="183"/>
      <c r="I61" s="183"/>
      <c r="J61" s="183"/>
      <c r="K61" s="183"/>
      <c r="L61" s="183"/>
      <c r="M61" s="183"/>
      <c r="N61" s="71">
        <f>IF(COUNT(E61:M61),SUM(E61:M61),"")</f>
        <v>0</v>
      </c>
      <c r="O61" s="242" t="str">
        <f>IF(P61=1, "&lt;===", "")</f>
        <v/>
      </c>
      <c r="P61" s="246" t="str">
        <f>IF(OR(AND(E52&lt;&gt;"",E61="",D349&lt;&gt;""),AND(F52&lt;&gt;"",F61="",D349&lt;&gt;""),AND(G52&lt;&gt;"",G61="",D349&lt;&gt;""),AND(H52&lt;&gt;"",H61="",D349&lt;&gt;""),AND(I52&lt;&gt;"",I61="",D349&lt;&gt;""),AND(J52&lt;&gt;"",J61="",D349&lt;&gt;""),AND(K52&lt;&gt;"",K61="",D349&lt;&gt;""),AND(L52&lt;&gt;"",L61="",D349&lt;&gt;""),AND(M52&lt;&gt;"",M61="",D349&lt;&gt;"")), 1, "")</f>
        <v/>
      </c>
      <c r="Q61" s="261"/>
      <c r="R61" s="261"/>
      <c r="S61" s="261"/>
      <c r="T61" s="261"/>
      <c r="U61" s="261"/>
      <c r="V61" s="261"/>
      <c r="W61" s="261"/>
      <c r="AR61" s="270"/>
      <c r="AS61" s="270"/>
      <c r="AT61" s="270"/>
      <c r="AU61" s="270"/>
      <c r="AV61" s="270"/>
      <c r="AW61" s="270"/>
      <c r="AX61" s="270"/>
      <c r="BA61" s="270"/>
      <c r="BB61" s="270"/>
      <c r="BC61" s="270"/>
      <c r="BD61" s="270"/>
      <c r="BE61" s="270"/>
      <c r="BF61" s="270"/>
      <c r="BG61" s="270"/>
      <c r="BJ61" s="270"/>
      <c r="BK61" s="270"/>
      <c r="BL61" s="270"/>
      <c r="BM61" s="270"/>
      <c r="BN61" s="270"/>
      <c r="BO61" s="270"/>
      <c r="BP61" s="270"/>
    </row>
    <row r="62" spans="2:68" ht="25.5" customHeight="1" x14ac:dyDescent="0.25">
      <c r="B62" s="368" t="s">
        <v>69</v>
      </c>
      <c r="C62" s="369"/>
      <c r="D62" s="370"/>
      <c r="E62" s="213">
        <f>IF(OR(E59="",E60="",E61=""),"",SUM(E59:E61))</f>
        <v>1</v>
      </c>
      <c r="F62" s="213">
        <f>IF(OR(F59="",F60="",F61=""),"",SUM(F59:F61))</f>
        <v>0</v>
      </c>
      <c r="G62" s="213" t="str">
        <f t="shared" ref="G62:M62" si="1">IF(OR(G59="",G60="",G61=""),"",SUM(G59:G61))</f>
        <v/>
      </c>
      <c r="H62" s="213" t="str">
        <f>IF(OR(H59="",H60="",H61=""),"",SUM(H59:H61))</f>
        <v/>
      </c>
      <c r="I62" s="213" t="str">
        <f t="shared" si="1"/>
        <v/>
      </c>
      <c r="J62" s="213" t="str">
        <f>IF(OR(J59="",J60="",J61=""),"",SUM(J59:J61))</f>
        <v/>
      </c>
      <c r="K62" s="213" t="str">
        <f t="shared" si="1"/>
        <v/>
      </c>
      <c r="L62" s="213" t="str">
        <f t="shared" si="1"/>
        <v/>
      </c>
      <c r="M62" s="213" t="str">
        <f t="shared" si="1"/>
        <v/>
      </c>
      <c r="N62" s="211">
        <f>IF(COUNT(N59:N61),SUM(N59:N61),"")</f>
        <v>1</v>
      </c>
      <c r="P62" s="235"/>
      <c r="Q62" s="261"/>
      <c r="R62" s="261"/>
      <c r="S62" s="261"/>
      <c r="T62" s="261"/>
      <c r="U62" s="261"/>
      <c r="V62" s="261"/>
      <c r="W62" s="261"/>
      <c r="Y62" s="85"/>
      <c r="Z62" s="256" t="str">
        <f>IF(P48&lt;&gt;"","Describe changes that could be made in the orientation to improve retention:","")</f>
        <v/>
      </c>
      <c r="AA62" s="256"/>
      <c r="AB62" s="256"/>
      <c r="AC62" s="256"/>
      <c r="AD62" s="256"/>
      <c r="AE62" s="256"/>
      <c r="AF62" s="256"/>
      <c r="AI62" s="256" t="str">
        <f>IF(AI49="Yes","What standardized tests/assessments are used and could there be changes in the admissions testing/assessment to improve retention?",IF(AI49="No","          Proceed to the next question to the right==&gt;",""))</f>
        <v/>
      </c>
      <c r="AJ62" s="256"/>
      <c r="AK62" s="256"/>
      <c r="AL62" s="256"/>
      <c r="AM62" s="256"/>
      <c r="AN62" s="256"/>
      <c r="AO62" s="256"/>
      <c r="AR62" s="270"/>
      <c r="AS62" s="270"/>
      <c r="AT62" s="270"/>
      <c r="AU62" s="270"/>
      <c r="AV62" s="270"/>
      <c r="AW62" s="270"/>
      <c r="AX62" s="270"/>
      <c r="BA62" s="270"/>
      <c r="BB62" s="270"/>
      <c r="BC62" s="270"/>
      <c r="BD62" s="270"/>
      <c r="BE62" s="270"/>
      <c r="BF62" s="270"/>
      <c r="BG62" s="270"/>
      <c r="BJ62" s="270"/>
      <c r="BK62" s="270"/>
      <c r="BL62" s="270"/>
      <c r="BM62" s="270"/>
      <c r="BN62" s="270"/>
      <c r="BO62" s="270"/>
      <c r="BP62" s="270"/>
    </row>
    <row r="63" spans="2:68" ht="24.75" customHeight="1" x14ac:dyDescent="0.25">
      <c r="B63" s="325" t="s">
        <v>72</v>
      </c>
      <c r="C63" s="326"/>
      <c r="D63" s="327"/>
      <c r="E63" s="212">
        <f>IF(OR(E52=0,E57="",E62=""),"",(SUM(E57,E62)))</f>
        <v>3</v>
      </c>
      <c r="F63" s="212">
        <f t="shared" ref="F63:M63" si="2">IF(OR(F52=0,F57="",F62=""),"",(SUM(F57,F62)))</f>
        <v>5</v>
      </c>
      <c r="G63" s="212" t="str">
        <f t="shared" si="2"/>
        <v/>
      </c>
      <c r="H63" s="212" t="str">
        <f t="shared" si="2"/>
        <v/>
      </c>
      <c r="I63" s="212" t="str">
        <f t="shared" si="2"/>
        <v/>
      </c>
      <c r="J63" s="212" t="str">
        <f t="shared" si="2"/>
        <v/>
      </c>
      <c r="K63" s="212" t="str">
        <f t="shared" si="2"/>
        <v/>
      </c>
      <c r="L63" s="212" t="str">
        <f t="shared" si="2"/>
        <v/>
      </c>
      <c r="M63" s="212" t="str">
        <f t="shared" si="2"/>
        <v/>
      </c>
      <c r="N63" s="212">
        <f>IF(COUNT(E63:M63),SUM(E63:M63),"")</f>
        <v>8</v>
      </c>
      <c r="P63" s="236"/>
      <c r="Q63" s="261"/>
      <c r="R63" s="261"/>
      <c r="S63" s="261"/>
      <c r="T63" s="261"/>
      <c r="U63" s="261"/>
      <c r="V63" s="261"/>
      <c r="W63" s="261"/>
      <c r="Z63" s="256"/>
      <c r="AA63" s="256"/>
      <c r="AB63" s="256"/>
      <c r="AC63" s="256"/>
      <c r="AD63" s="256"/>
      <c r="AE63" s="256"/>
      <c r="AF63" s="256"/>
      <c r="AI63" s="256"/>
      <c r="AJ63" s="256"/>
      <c r="AK63" s="256"/>
      <c r="AL63" s="256"/>
      <c r="AM63" s="256"/>
      <c r="AN63" s="256"/>
      <c r="AO63" s="256"/>
      <c r="AR63" s="270"/>
      <c r="AS63" s="270"/>
      <c r="AT63" s="270"/>
      <c r="AU63" s="270"/>
      <c r="AV63" s="270"/>
      <c r="AW63" s="270"/>
      <c r="AX63" s="270"/>
      <c r="BA63" s="270"/>
      <c r="BB63" s="270"/>
      <c r="BC63" s="270"/>
      <c r="BD63" s="270"/>
      <c r="BE63" s="270"/>
      <c r="BF63" s="270"/>
      <c r="BG63" s="270"/>
      <c r="BJ63" s="270"/>
      <c r="BK63" s="270"/>
      <c r="BL63" s="270"/>
      <c r="BM63" s="270"/>
      <c r="BN63" s="270"/>
      <c r="BO63" s="270"/>
      <c r="BP63" s="270"/>
    </row>
    <row r="64" spans="2:68" ht="24.75" customHeight="1" thickBot="1" x14ac:dyDescent="0.3">
      <c r="B64" s="197" t="s">
        <v>17</v>
      </c>
      <c r="C64" s="198"/>
      <c r="D64" s="198"/>
      <c r="E64" s="199">
        <f>IF(OR(E52=0,E57="",E62=""),"",(E52-(SUM(E57,E62))))</f>
        <v>15</v>
      </c>
      <c r="F64" s="199">
        <f t="shared" ref="F64:M64" si="3">IF(OR(F52=0,F57="",F62=""),"",(F52-(SUM(F57,F62))))</f>
        <v>19</v>
      </c>
      <c r="G64" s="199" t="str">
        <f t="shared" si="3"/>
        <v/>
      </c>
      <c r="H64" s="199" t="str">
        <f t="shared" si="3"/>
        <v/>
      </c>
      <c r="I64" s="199" t="str">
        <f t="shared" si="3"/>
        <v/>
      </c>
      <c r="J64" s="199" t="str">
        <f t="shared" si="3"/>
        <v/>
      </c>
      <c r="K64" s="199" t="str">
        <f t="shared" si="3"/>
        <v/>
      </c>
      <c r="L64" s="199" t="str">
        <f t="shared" si="3"/>
        <v/>
      </c>
      <c r="M64" s="199" t="str">
        <f t="shared" si="3"/>
        <v/>
      </c>
      <c r="N64" s="199">
        <f>IF(COUNT(E64:M64),SUM(E64:M64),"")</f>
        <v>34</v>
      </c>
      <c r="Q64" s="261"/>
      <c r="R64" s="261"/>
      <c r="S64" s="261"/>
      <c r="T64" s="261"/>
      <c r="U64" s="261"/>
      <c r="V64" s="261"/>
      <c r="W64" s="261"/>
      <c r="Z64" s="270"/>
      <c r="AA64" s="270"/>
      <c r="AB64" s="270"/>
      <c r="AC64" s="270"/>
      <c r="AD64" s="270"/>
      <c r="AE64" s="270"/>
      <c r="AF64" s="270"/>
      <c r="AI64" s="270"/>
      <c r="AJ64" s="270"/>
      <c r="AK64" s="270"/>
      <c r="AL64" s="270"/>
      <c r="AM64" s="270"/>
      <c r="AN64" s="270"/>
      <c r="AO64" s="270"/>
      <c r="AR64" s="270"/>
      <c r="AS64" s="270"/>
      <c r="AT64" s="270"/>
      <c r="AU64" s="270"/>
      <c r="AV64" s="270"/>
      <c r="AW64" s="270"/>
      <c r="AX64" s="270"/>
      <c r="BA64" s="270"/>
      <c r="BB64" s="270"/>
      <c r="BC64" s="270"/>
      <c r="BD64" s="270"/>
      <c r="BE64" s="270"/>
      <c r="BF64" s="270"/>
      <c r="BG64" s="270"/>
      <c r="BJ64" s="270"/>
      <c r="BK64" s="270"/>
      <c r="BL64" s="270"/>
      <c r="BM64" s="270"/>
      <c r="BN64" s="270"/>
      <c r="BO64" s="270"/>
      <c r="BP64" s="270"/>
    </row>
    <row r="65" spans="2:83" ht="21.95" customHeight="1" thickTop="1" x14ac:dyDescent="0.25">
      <c r="B65" s="339" t="s">
        <v>73</v>
      </c>
      <c r="C65" s="340"/>
      <c r="D65" s="25"/>
      <c r="E65" s="202">
        <f>IFERROR(SUM(E54,E55,E56,E59,E60,E61)/E52,"")</f>
        <v>0.16666666666666666</v>
      </c>
      <c r="F65" s="202">
        <f t="shared" ref="F65:M65" si="4">IFERROR(SUM(F54,F55,F56,F59,F60,F61)/F52,"")</f>
        <v>0.20833333333333334</v>
      </c>
      <c r="G65" s="202" t="str">
        <f t="shared" si="4"/>
        <v/>
      </c>
      <c r="H65" s="202" t="str">
        <f t="shared" si="4"/>
        <v/>
      </c>
      <c r="I65" s="202" t="str">
        <f t="shared" si="4"/>
        <v/>
      </c>
      <c r="J65" s="202" t="str">
        <f t="shared" si="4"/>
        <v/>
      </c>
      <c r="K65" s="202" t="str">
        <f t="shared" si="4"/>
        <v/>
      </c>
      <c r="L65" s="202" t="str">
        <f t="shared" si="4"/>
        <v/>
      </c>
      <c r="M65" s="203" t="str">
        <f t="shared" si="4"/>
        <v/>
      </c>
      <c r="N65" s="204">
        <f>IFERROR(AVERAGEIF(E65:M65,"&lt;&gt;0"),0)</f>
        <v>0.1875</v>
      </c>
      <c r="P65" s="236"/>
      <c r="Q65" s="261"/>
      <c r="R65" s="261"/>
      <c r="S65" s="261"/>
      <c r="T65" s="261"/>
      <c r="U65" s="261"/>
      <c r="V65" s="261"/>
      <c r="W65" s="261"/>
      <c r="Z65" s="270"/>
      <c r="AA65" s="270"/>
      <c r="AB65" s="270"/>
      <c r="AC65" s="270"/>
      <c r="AD65" s="270"/>
      <c r="AE65" s="270"/>
      <c r="AF65" s="270"/>
      <c r="AI65" s="270"/>
      <c r="AJ65" s="270"/>
      <c r="AK65" s="270"/>
      <c r="AL65" s="270"/>
      <c r="AM65" s="270"/>
      <c r="AN65" s="270"/>
      <c r="AO65" s="270"/>
      <c r="AR65" s="270"/>
      <c r="AS65" s="270"/>
      <c r="AT65" s="270"/>
      <c r="AU65" s="270"/>
      <c r="AV65" s="270"/>
      <c r="AW65" s="270"/>
      <c r="AX65" s="270"/>
      <c r="BA65" s="270"/>
      <c r="BB65" s="270"/>
      <c r="BC65" s="270"/>
      <c r="BD65" s="270"/>
      <c r="BE65" s="270"/>
      <c r="BF65" s="270"/>
      <c r="BG65" s="270"/>
      <c r="BJ65" s="270"/>
      <c r="BK65" s="270"/>
      <c r="BL65" s="270"/>
      <c r="BM65" s="270"/>
      <c r="BN65" s="270"/>
      <c r="BO65" s="270"/>
      <c r="BP65" s="270"/>
    </row>
    <row r="66" spans="2:83" ht="26.25" customHeight="1" x14ac:dyDescent="0.25">
      <c r="B66" s="334" t="s">
        <v>74</v>
      </c>
      <c r="C66" s="335"/>
      <c r="D66" s="336"/>
      <c r="E66" s="205">
        <f>IF(E64&lt;&gt;"",1-E65,IF(E65=0,"",""))</f>
        <v>0.83333333333333337</v>
      </c>
      <c r="F66" s="205">
        <f>IF(F64&lt;&gt;"",1-F65,IF(F65=0,"",""))</f>
        <v>0.79166666666666663</v>
      </c>
      <c r="G66" s="205" t="str">
        <f>IF(G64&lt;&gt;"",1-G65,IF(G65=0,"",""))</f>
        <v/>
      </c>
      <c r="H66" s="205" t="str">
        <f t="shared" ref="H66:M66" si="5">IF(H64&lt;&gt;"",1-H65,IF(H65=0,"",""))</f>
        <v/>
      </c>
      <c r="I66" s="205" t="str">
        <f t="shared" si="5"/>
        <v/>
      </c>
      <c r="J66" s="205" t="str">
        <f t="shared" si="5"/>
        <v/>
      </c>
      <c r="K66" s="205" t="str">
        <f t="shared" si="5"/>
        <v/>
      </c>
      <c r="L66" s="205" t="str">
        <f t="shared" si="5"/>
        <v/>
      </c>
      <c r="M66" s="206" t="str">
        <f t="shared" si="5"/>
        <v/>
      </c>
      <c r="N66" s="207">
        <f>IFERROR(AVERAGE(E66:M66),0)</f>
        <v>0.8125</v>
      </c>
      <c r="O66" s="242" t="str">
        <f>IF(P66=1, "&lt;===", "")</f>
        <v/>
      </c>
      <c r="P66" s="243" t="str">
        <f>IF(OR(P54&lt;&gt;"",P55&lt;&gt;"",Q55&lt;&gt;"",P59&lt;&gt;"",P60&lt;&gt;"",P61&lt;&gt;""), 1, "")</f>
        <v/>
      </c>
      <c r="Q66" s="261"/>
      <c r="R66" s="261"/>
      <c r="S66" s="261"/>
      <c r="T66" s="261"/>
      <c r="U66" s="261"/>
      <c r="V66" s="261"/>
      <c r="W66" s="261"/>
      <c r="Z66" s="270"/>
      <c r="AA66" s="270"/>
      <c r="AB66" s="270"/>
      <c r="AC66" s="270"/>
      <c r="AD66" s="270"/>
      <c r="AE66" s="270"/>
      <c r="AF66" s="270"/>
      <c r="AI66" s="270"/>
      <c r="AJ66" s="270"/>
      <c r="AK66" s="270"/>
      <c r="AL66" s="270"/>
      <c r="AM66" s="270"/>
      <c r="AN66" s="270"/>
      <c r="AO66" s="270"/>
      <c r="AR66" s="270"/>
      <c r="AS66" s="270"/>
      <c r="AT66" s="270"/>
      <c r="AU66" s="270"/>
      <c r="AV66" s="270"/>
      <c r="AW66" s="270"/>
      <c r="AX66" s="270"/>
      <c r="BA66" s="270"/>
      <c r="BB66" s="270"/>
      <c r="BC66" s="270"/>
      <c r="BD66" s="270"/>
      <c r="BE66" s="270"/>
      <c r="BF66" s="270"/>
      <c r="BG66" s="270"/>
      <c r="BJ66" s="270"/>
      <c r="BK66" s="270"/>
      <c r="BL66" s="270"/>
      <c r="BM66" s="270"/>
      <c r="BN66" s="270"/>
      <c r="BO66" s="270"/>
      <c r="BP66" s="270"/>
    </row>
    <row r="67" spans="2:83" ht="55.5" customHeight="1" x14ac:dyDescent="0.25">
      <c r="B67" s="300" t="str">
        <f>IF(AND(N66&lt;0.7,B68="",N65&lt;&gt;0,N66&lt;&gt;0),"The outcome threshold of 70% has not been met.  
Please complete the analysis and action plan questions to the right ==&gt;.",IF(AND(N66&gt;=0.7,N65&lt;100%),"The outcome threshold of 70% has been met.  
Please complete the next table below.",""))</f>
        <v>The outcome threshold of 70% has been met.  
Please complete the next table below.</v>
      </c>
      <c r="C67" s="301"/>
      <c r="D67" s="301"/>
      <c r="E67" s="301"/>
      <c r="F67" s="301"/>
      <c r="G67" s="301"/>
      <c r="H67" s="301"/>
      <c r="I67" s="301"/>
      <c r="J67" s="301"/>
      <c r="K67" s="301"/>
      <c r="L67" s="301"/>
      <c r="M67" s="301"/>
      <c r="N67" s="302"/>
      <c r="Q67" s="261"/>
      <c r="R67" s="261"/>
      <c r="S67" s="261"/>
      <c r="T67" s="261"/>
      <c r="U67" s="261"/>
      <c r="V67" s="261"/>
      <c r="W67" s="261"/>
      <c r="Z67" s="270"/>
      <c r="AA67" s="270"/>
      <c r="AB67" s="270"/>
      <c r="AC67" s="270"/>
      <c r="AD67" s="270"/>
      <c r="AE67" s="270"/>
      <c r="AF67" s="270"/>
      <c r="AI67" s="270"/>
      <c r="AJ67" s="270"/>
      <c r="AK67" s="270"/>
      <c r="AL67" s="270"/>
      <c r="AM67" s="270"/>
      <c r="AN67" s="270"/>
      <c r="AO67" s="270"/>
      <c r="AR67" s="270"/>
      <c r="AS67" s="270"/>
      <c r="AT67" s="270"/>
      <c r="AU67" s="270"/>
      <c r="AV67" s="270"/>
      <c r="AW67" s="270"/>
      <c r="AX67" s="270"/>
      <c r="BA67" s="270"/>
      <c r="BB67" s="270"/>
      <c r="BC67" s="270"/>
      <c r="BD67" s="270"/>
      <c r="BE67" s="270"/>
      <c r="BF67" s="270"/>
      <c r="BG67" s="270"/>
      <c r="BJ67" s="270"/>
      <c r="BK67" s="270"/>
      <c r="BL67" s="270"/>
      <c r="BM67" s="270"/>
      <c r="BN67" s="270"/>
      <c r="BO67" s="270"/>
      <c r="BP67" s="270"/>
    </row>
    <row r="68" spans="2:83" ht="51.75" customHeight="1" x14ac:dyDescent="0.25">
      <c r="B68" s="338" t="str">
        <f>IF(OR(AND(D4&lt;&gt;YEAR(E51),E51&lt;&gt;0),AND(D4&lt;&gt;YEAR(F51),F51&lt;&gt;0),AND(D4&lt;&gt;YEAR(G51),G51&lt;&gt;0),AND(D4&lt;&gt;YEAR(H51),H51&lt;&gt;0),AND(D4&lt;&gt;YEAR(I51),I51&lt;&gt;0),AND(D4&lt;&gt;YEAR(J51),J51&lt;&gt;0),AND(D4&lt;&gt;YEAR(K51),K51&lt;&gt;0),AND(D4&lt;&gt;YEAR(L51),L51&lt;&gt;0),AND(D4&lt;&gt;YEAR(M51),M51&lt;&gt;0)),"Error has occurred; Remove cohorts that do not graduate in the current year.",IF(OR(AND(E65&gt;100%,E64&lt;&gt;""),AND(F65&gt;100%,F64&lt;&gt;""),AND(G65&gt;100%,G64&lt;&gt;""),AND(H65&gt;100%,H64&lt;&gt;""),AND(I65&gt;100%,I64&lt;&gt;""),AND(J65&gt;100%,J64&lt;&gt;""),AND(K65&gt;100%,K64&lt;&gt;""),AND(L65&gt;100%,L64&lt;&gt;""),AND(M65&gt;100%,M64&lt;&gt;"")),"Error has occurred; Total number of graduates cannot be greater than the total number of students in the cohort",""))</f>
        <v/>
      </c>
      <c r="C68" s="338"/>
      <c r="D68" s="338"/>
      <c r="E68" s="338"/>
      <c r="F68" s="338"/>
      <c r="G68" s="338"/>
      <c r="H68" s="338"/>
      <c r="I68" s="338"/>
      <c r="J68" s="338"/>
      <c r="K68" s="338"/>
      <c r="L68" s="338"/>
      <c r="M68" s="338"/>
      <c r="N68" s="338"/>
      <c r="Q68" s="261"/>
      <c r="R68" s="261"/>
      <c r="S68" s="261"/>
      <c r="T68" s="261"/>
      <c r="U68" s="261"/>
      <c r="V68" s="261"/>
      <c r="W68" s="261"/>
      <c r="Z68" s="270"/>
      <c r="AA68" s="270"/>
      <c r="AB68" s="270"/>
      <c r="AC68" s="270"/>
      <c r="AD68" s="270"/>
      <c r="AE68" s="270"/>
      <c r="AF68" s="270"/>
      <c r="AI68" s="270"/>
      <c r="AJ68" s="270"/>
      <c r="AK68" s="270"/>
      <c r="AL68" s="270"/>
      <c r="AM68" s="270"/>
      <c r="AN68" s="270"/>
      <c r="AO68" s="270"/>
      <c r="AR68" s="270"/>
      <c r="AS68" s="270"/>
      <c r="AT68" s="270"/>
      <c r="AU68" s="270"/>
      <c r="AV68" s="270"/>
      <c r="AW68" s="270"/>
      <c r="AX68" s="270"/>
      <c r="BA68" s="270"/>
      <c r="BB68" s="270"/>
      <c r="BC68" s="270"/>
      <c r="BD68" s="270"/>
      <c r="BE68" s="270"/>
      <c r="BF68" s="270"/>
      <c r="BG68" s="270"/>
      <c r="BJ68" s="270"/>
      <c r="BK68" s="270"/>
      <c r="BL68" s="270"/>
      <c r="BM68" s="270"/>
      <c r="BN68" s="270"/>
      <c r="BO68" s="270"/>
      <c r="BP68" s="270"/>
    </row>
    <row r="69" spans="2:83" ht="114.75" customHeight="1" x14ac:dyDescent="0.25">
      <c r="B69" s="318" t="s">
        <v>32</v>
      </c>
      <c r="C69" s="319"/>
      <c r="D69" s="319"/>
      <c r="E69" s="319"/>
      <c r="F69" s="319"/>
      <c r="G69" s="319"/>
      <c r="H69" s="319"/>
      <c r="I69" s="319"/>
      <c r="J69" s="319"/>
      <c r="K69" s="319"/>
      <c r="L69" s="319"/>
      <c r="M69" s="319"/>
      <c r="N69" s="320"/>
      <c r="Q69" s="261"/>
      <c r="R69" s="261"/>
      <c r="S69" s="261"/>
      <c r="T69" s="261"/>
      <c r="U69" s="261"/>
      <c r="V69" s="261"/>
      <c r="W69" s="261"/>
      <c r="Z69" s="270"/>
      <c r="AA69" s="270"/>
      <c r="AB69" s="270"/>
      <c r="AC69" s="270"/>
      <c r="AD69" s="270"/>
      <c r="AE69" s="270"/>
      <c r="AF69" s="270"/>
      <c r="AI69" s="270"/>
      <c r="AJ69" s="270"/>
      <c r="AK69" s="270"/>
      <c r="AL69" s="270"/>
      <c r="AM69" s="270"/>
      <c r="AN69" s="270"/>
      <c r="AO69" s="270"/>
      <c r="AR69" s="270"/>
      <c r="AS69" s="270"/>
      <c r="AT69" s="270"/>
      <c r="AU69" s="270"/>
      <c r="AV69" s="270"/>
      <c r="AW69" s="270"/>
      <c r="AX69" s="270"/>
      <c r="BA69" s="270"/>
      <c r="BB69" s="270"/>
      <c r="BC69" s="270"/>
      <c r="BD69" s="270"/>
      <c r="BE69" s="270"/>
      <c r="BF69" s="270"/>
      <c r="BG69" s="270"/>
      <c r="BJ69" s="270"/>
      <c r="BK69" s="270"/>
      <c r="BL69" s="270"/>
      <c r="BM69" s="270"/>
      <c r="BN69" s="270"/>
      <c r="BO69" s="270"/>
      <c r="BP69" s="270"/>
    </row>
    <row r="72" spans="2:83" ht="24" customHeight="1" x14ac:dyDescent="0.25">
      <c r="C72" s="230">
        <f>$D$14</f>
        <v>600837</v>
      </c>
      <c r="D72" s="254" t="str">
        <f>$D$16</f>
        <v>Milwaukee Area Technical College</v>
      </c>
      <c r="E72" s="254"/>
      <c r="F72" s="254"/>
      <c r="G72" s="254"/>
      <c r="H72" s="254"/>
      <c r="I72" s="254"/>
      <c r="J72" s="254"/>
      <c r="K72" s="254"/>
      <c r="Q72" s="253" t="str">
        <f>IF(P75&lt;&gt;"",$D$14,"")</f>
        <v/>
      </c>
      <c r="R72" s="253"/>
      <c r="S72" s="255" t="str">
        <f>IF(P75&lt;&gt;"",$D$16,"")</f>
        <v/>
      </c>
      <c r="T72" s="255"/>
      <c r="U72" s="255"/>
      <c r="V72" s="255"/>
      <c r="W72" s="255"/>
      <c r="X72" s="255"/>
      <c r="Y72" s="255"/>
      <c r="Z72" s="255"/>
      <c r="AA72" s="255"/>
      <c r="AB72" s="255"/>
      <c r="AI72" s="253" t="str">
        <f>IF(P75&lt;&gt;"",$D$14,"")</f>
        <v/>
      </c>
      <c r="AJ72" s="253"/>
      <c r="AK72" s="255" t="str">
        <f>IF(P75&lt;&gt;"",$D$16,"")</f>
        <v/>
      </c>
      <c r="AL72" s="255"/>
      <c r="AM72" s="255"/>
      <c r="AN72" s="255"/>
      <c r="AO72" s="255"/>
      <c r="AP72" s="255"/>
      <c r="AQ72" s="255"/>
      <c r="AR72" s="255"/>
      <c r="AS72" s="255"/>
      <c r="AT72" s="255"/>
      <c r="BA72" s="253" t="str">
        <f>IF(P75&lt;&gt;"",$D$14,"")</f>
        <v/>
      </c>
      <c r="BB72" s="253"/>
      <c r="BC72" s="255" t="str">
        <f>IF(P75&lt;&gt;"",$D$16,"")</f>
        <v/>
      </c>
      <c r="BD72" s="255"/>
      <c r="BE72" s="255"/>
      <c r="BF72" s="255"/>
      <c r="BG72" s="255"/>
      <c r="BH72" s="255"/>
      <c r="BI72" s="255"/>
      <c r="BJ72" s="255"/>
      <c r="BK72" s="255"/>
      <c r="BL72" s="255"/>
      <c r="BT72" s="253" t="str">
        <f>IF(P75&lt;&gt;"",$D$14,"")</f>
        <v/>
      </c>
      <c r="BU72" s="253"/>
      <c r="BV72" s="255" t="str">
        <f>IF(P75&lt;&gt;"",$D$16,"")</f>
        <v/>
      </c>
      <c r="BW72" s="255"/>
      <c r="BX72" s="255"/>
      <c r="BY72" s="255"/>
      <c r="BZ72" s="255"/>
      <c r="CA72" s="441" t="str">
        <f>IF(P75&lt;&gt;"", "&lt;== Once the analysis and action plan boxes have 
        been completed, CLICK HERE to proceed to 
        the next section or scroll back", "")</f>
        <v/>
      </c>
      <c r="CB72" s="441"/>
      <c r="CC72" s="441"/>
      <c r="CD72" s="441"/>
      <c r="CE72" s="441"/>
    </row>
    <row r="73" spans="2:83" ht="18.75" x14ac:dyDescent="0.25">
      <c r="B73" s="352" t="s">
        <v>22</v>
      </c>
      <c r="C73" s="352"/>
      <c r="D73" s="352"/>
      <c r="E73" s="352"/>
      <c r="F73" s="352"/>
      <c r="G73" s="308" t="s">
        <v>115</v>
      </c>
      <c r="H73" s="309"/>
      <c r="I73" s="21"/>
      <c r="J73" s="21" t="s">
        <v>100</v>
      </c>
      <c r="K73" s="21"/>
      <c r="O73" s="242" t="str">
        <f>IF(P73=1, "&lt;===", "")</f>
        <v/>
      </c>
      <c r="P73" s="227" t="str">
        <f>IF(AND(G73="Please Select", G44&lt;&gt;0, D349&lt;&gt;""), 1, "")</f>
        <v/>
      </c>
      <c r="S73" s="280" t="str">
        <f>IF(P75&lt;&gt;"",G75,"")</f>
        <v/>
      </c>
      <c r="T73" s="280"/>
      <c r="U73" s="280"/>
      <c r="V73" s="280"/>
      <c r="W73" s="280"/>
      <c r="AK73" s="280" t="str">
        <f>IF(P75&lt;&gt;"",G75,"")</f>
        <v/>
      </c>
      <c r="AL73" s="280"/>
      <c r="AM73" s="280"/>
      <c r="AN73" s="280"/>
      <c r="AO73" s="280"/>
      <c r="BC73" s="255" t="str">
        <f>IF(P75&lt;&gt;"",G75,"")</f>
        <v/>
      </c>
      <c r="BD73" s="255"/>
      <c r="BE73" s="255"/>
      <c r="BF73" s="255"/>
      <c r="BG73" s="255"/>
      <c r="BV73" s="255" t="str">
        <f>IF(P75&lt;&gt;"",G75,"")</f>
        <v/>
      </c>
      <c r="BW73" s="255"/>
      <c r="BX73" s="255"/>
      <c r="BY73" s="255"/>
      <c r="BZ73" s="255"/>
      <c r="CA73" s="441"/>
      <c r="CB73" s="441"/>
      <c r="CC73" s="441"/>
      <c r="CD73" s="441"/>
      <c r="CE73" s="441"/>
    </row>
    <row r="74" spans="2:83" x14ac:dyDescent="0.25">
      <c r="B74" s="278"/>
      <c r="C74" s="278"/>
      <c r="J74" s="21" t="s">
        <v>102</v>
      </c>
      <c r="P74" s="227" t="str">
        <f>IF(AND(G75="Please Select", G44&lt;&gt;0, D349&lt;&gt;""), 1, "")</f>
        <v/>
      </c>
      <c r="CA74" s="441"/>
      <c r="CB74" s="441"/>
      <c r="CC74" s="441"/>
      <c r="CD74" s="441"/>
      <c r="CE74" s="441"/>
    </row>
    <row r="75" spans="2:83" ht="18.75" customHeight="1" x14ac:dyDescent="0.25">
      <c r="B75" s="352" t="s">
        <v>99</v>
      </c>
      <c r="C75" s="352"/>
      <c r="D75" s="352"/>
      <c r="E75" s="352"/>
      <c r="F75" s="352"/>
      <c r="G75" s="308" t="s">
        <v>116</v>
      </c>
      <c r="H75" s="309"/>
      <c r="J75" s="21"/>
      <c r="O75" s="242" t="str">
        <f>IF(P74=1, "&lt;===", "")</f>
        <v/>
      </c>
      <c r="P75" s="333" t="str">
        <f>IF(AND(B87="The outcome threshold of 70% has not been met.  
Please complete the analysis and action plan questions to the right ==&gt;.",B88=""),"1)","")</f>
        <v/>
      </c>
      <c r="Q75" s="257" t="str">
        <f>IF(P75&lt;&gt;"","What is the trend in " &amp;G73&amp; " written exam results for the past graduating classes?","")</f>
        <v/>
      </c>
      <c r="R75" s="257"/>
      <c r="S75" s="257"/>
      <c r="T75" s="257"/>
      <c r="U75" s="257"/>
      <c r="V75" s="257"/>
      <c r="W75" s="257"/>
      <c r="X75" s="86"/>
      <c r="Y75" s="324"/>
      <c r="Z75" s="257" t="str">
        <f>IF(Q80="Yes","How does performance on the comprehensive cognitive exam correlate to the " &amp; G73 &amp; " written exam?",IF(Q80="No","Proceed to question #3 below",""))</f>
        <v/>
      </c>
      <c r="AA75" s="257"/>
      <c r="AB75" s="257"/>
      <c r="AC75" s="257"/>
      <c r="AD75" s="257"/>
      <c r="AE75" s="257"/>
      <c r="AF75" s="257"/>
      <c r="AG75" s="81"/>
      <c r="AI75" s="257" t="str">
        <f>IF(P75&lt;&gt;"","What was the student performance on the formative exams that tested those content areas?","")</f>
        <v/>
      </c>
      <c r="AJ75" s="257"/>
      <c r="AK75" s="257"/>
      <c r="AL75" s="257"/>
      <c r="AM75" s="257"/>
      <c r="AN75" s="257"/>
      <c r="AO75" s="257"/>
      <c r="AQ75" s="260" t="str">
        <f>IF(P75&lt;&gt;"","7)","")</f>
        <v/>
      </c>
      <c r="AR75" s="257" t="str">
        <f>IF(P75&lt;&gt;"","What solutions have been proposed to strengthen the weak content areas and the " &amp;G73&amp; " written examination results?","")</f>
        <v/>
      </c>
      <c r="AS75" s="257"/>
      <c r="AT75" s="257"/>
      <c r="AU75" s="257"/>
      <c r="AV75" s="257"/>
      <c r="AW75" s="257"/>
      <c r="AX75" s="257"/>
      <c r="AY75" s="81"/>
      <c r="AZ75" s="260" t="str">
        <f>IF(P75&lt;&gt;"","9)","")</f>
        <v/>
      </c>
      <c r="BA75" s="257" t="str">
        <f>IF(P75&lt;&gt;"","Did the annual resource assessment identify deficiencies that may have contributed to poor student performance?","")</f>
        <v/>
      </c>
      <c r="BB75" s="257"/>
      <c r="BC75" s="257"/>
      <c r="BD75" s="257"/>
      <c r="BE75" s="257"/>
      <c r="BF75" s="257"/>
      <c r="BG75" s="257"/>
      <c r="BJ75" s="257" t="str">
        <f>IF(P75&lt;&gt;"","Has the Advisory Committee identified additional weaknesses in content areas?","")</f>
        <v/>
      </c>
      <c r="BK75" s="257"/>
      <c r="BL75" s="257"/>
      <c r="BM75" s="257"/>
      <c r="BN75" s="257"/>
      <c r="BO75" s="257"/>
      <c r="BP75" s="257"/>
    </row>
    <row r="76" spans="2:83" x14ac:dyDescent="0.25">
      <c r="P76" s="333"/>
      <c r="Q76" s="257"/>
      <c r="R76" s="257"/>
      <c r="S76" s="257"/>
      <c r="T76" s="257"/>
      <c r="U76" s="257"/>
      <c r="V76" s="257"/>
      <c r="W76" s="257"/>
      <c r="X76" s="86"/>
      <c r="Y76" s="324"/>
      <c r="Z76" s="257"/>
      <c r="AA76" s="257"/>
      <c r="AB76" s="257"/>
      <c r="AC76" s="257"/>
      <c r="AD76" s="257"/>
      <c r="AE76" s="257"/>
      <c r="AF76" s="257"/>
      <c r="AG76" s="81"/>
      <c r="AH76" s="10" t="str">
        <f>IF(P75&lt;&gt;"","5)","")</f>
        <v/>
      </c>
      <c r="AI76" s="257"/>
      <c r="AJ76" s="257"/>
      <c r="AK76" s="257"/>
      <c r="AL76" s="257"/>
      <c r="AM76" s="257"/>
      <c r="AN76" s="257"/>
      <c r="AO76" s="257"/>
      <c r="AP76" s="86"/>
      <c r="AQ76" s="260"/>
      <c r="AR76" s="257"/>
      <c r="AS76" s="257"/>
      <c r="AT76" s="257"/>
      <c r="AU76" s="257"/>
      <c r="AV76" s="257"/>
      <c r="AW76" s="257"/>
      <c r="AX76" s="257"/>
      <c r="AY76" s="81"/>
      <c r="AZ76" s="260"/>
      <c r="BA76" s="257"/>
      <c r="BB76" s="257"/>
      <c r="BC76" s="257"/>
      <c r="BD76" s="257"/>
      <c r="BE76" s="257"/>
      <c r="BF76" s="257"/>
      <c r="BG76" s="257"/>
      <c r="BI76" s="10" t="str">
        <f>IF(P75&lt;&gt;"","10)","")</f>
        <v/>
      </c>
      <c r="BJ76" s="257"/>
      <c r="BK76" s="257"/>
      <c r="BL76" s="257"/>
      <c r="BM76" s="257"/>
      <c r="BN76" s="257"/>
      <c r="BO76" s="257"/>
      <c r="BP76" s="257"/>
      <c r="BQ76" s="86"/>
      <c r="BR76" s="86"/>
      <c r="BS76" s="86"/>
      <c r="BU76" s="10" t="str">
        <f>IF(P75&lt;&gt;"","11)","")</f>
        <v/>
      </c>
      <c r="BV76" s="341" t="str">
        <f>IF(P75&lt;&gt;"","Was additional equipment purchased to address identified deficiencies?","")</f>
        <v/>
      </c>
      <c r="BW76" s="341"/>
      <c r="BX76" s="341"/>
      <c r="BY76" s="341"/>
      <c r="BZ76" s="341"/>
      <c r="CA76" s="341"/>
      <c r="CB76" s="341"/>
      <c r="CC76" s="341"/>
      <c r="CD76" s="341"/>
      <c r="CE76" s="341"/>
    </row>
    <row r="77" spans="2:83" ht="23.25" customHeight="1" x14ac:dyDescent="0.25">
      <c r="B77" s="40" t="str">
        <f>IF(G73="National Registry","National Registry Written Examination",IF(G73="State","State Written Examination",IF(G73="Please Select", "")))</f>
        <v>National Registry Written Examination</v>
      </c>
      <c r="C77" s="30"/>
      <c r="D77" s="30"/>
      <c r="E77" s="30"/>
      <c r="F77" s="30"/>
      <c r="G77" s="30"/>
      <c r="H77" s="30"/>
      <c r="I77" s="30"/>
      <c r="J77" s="30"/>
      <c r="K77" s="30"/>
      <c r="L77" s="30"/>
      <c r="M77" s="30"/>
      <c r="N77" s="31"/>
      <c r="P77" s="234"/>
      <c r="Q77" s="323" t="str">
        <f>IF(P75&lt;&gt;"","Please Select","")</f>
        <v/>
      </c>
      <c r="R77" s="323"/>
      <c r="S77" s="82"/>
      <c r="T77" s="86"/>
      <c r="U77" s="86"/>
      <c r="V77" s="86"/>
      <c r="W77" s="86"/>
      <c r="X77" s="86"/>
      <c r="Z77" s="270"/>
      <c r="AA77" s="270"/>
      <c r="AB77" s="270"/>
      <c r="AC77" s="270"/>
      <c r="AD77" s="270"/>
      <c r="AE77" s="270"/>
      <c r="AF77" s="270"/>
      <c r="AG77" s="107"/>
      <c r="AI77" s="270"/>
      <c r="AJ77" s="270"/>
      <c r="AK77" s="270"/>
      <c r="AL77" s="270"/>
      <c r="AM77" s="270"/>
      <c r="AN77" s="270"/>
      <c r="AO77" s="270"/>
      <c r="AP77" s="107"/>
      <c r="AR77" s="270"/>
      <c r="AS77" s="270"/>
      <c r="AT77" s="270"/>
      <c r="AU77" s="270"/>
      <c r="AV77" s="270"/>
      <c r="AW77" s="270"/>
      <c r="AX77" s="270"/>
      <c r="AY77" s="106"/>
      <c r="BA77" s="259" t="str">
        <f>IF(P75&lt;&gt;"","Please Select","")</f>
        <v/>
      </c>
      <c r="BB77" s="259"/>
      <c r="BJ77" s="259" t="str">
        <f>IF(P75&lt;&gt;"","Please Select","")</f>
        <v/>
      </c>
      <c r="BK77" s="259"/>
      <c r="BV77" s="259" t="str">
        <f>IF(P75&lt;&gt;"","Please Select","")</f>
        <v/>
      </c>
      <c r="BW77" s="259"/>
    </row>
    <row r="78" spans="2:83" ht="62.25" customHeight="1" x14ac:dyDescent="0.25">
      <c r="B78" s="371" t="str">
        <f>"The National Registry (written and/or practical) threshold set by the National Registry or State Exam (written and/or practical) threshold set by the State is 70%.  The success of any exam results will be computed over the most recent reporting year ("&amp;D4&amp;") based on the total number of graduates attempting the exam(s) pass (i.e., unduplicated head count of attempters who pass)."</f>
        <v>The National Registry (written and/or practical) threshold set by the National Registry or State Exam (written and/or practical) threshold set by the State is 70%.  The success of any exam results will be computed over the most recent reporting year (2017) based on the total number of graduates attempting the exam(s) pass (i.e., unduplicated head count of attempters who pass).</v>
      </c>
      <c r="C78" s="372"/>
      <c r="D78" s="372"/>
      <c r="E78" s="372"/>
      <c r="F78" s="372"/>
      <c r="G78" s="372"/>
      <c r="H78" s="372"/>
      <c r="I78" s="372"/>
      <c r="J78" s="372"/>
      <c r="K78" s="372"/>
      <c r="L78" s="372"/>
      <c r="M78" s="372"/>
      <c r="N78" s="373"/>
      <c r="Q78" s="89"/>
      <c r="R78" s="89"/>
      <c r="S78" s="89"/>
      <c r="T78" s="89"/>
      <c r="U78" s="89"/>
      <c r="V78" s="89"/>
      <c r="W78" s="89"/>
      <c r="X78" s="89"/>
      <c r="Z78" s="270"/>
      <c r="AA78" s="270"/>
      <c r="AB78" s="270"/>
      <c r="AC78" s="270"/>
      <c r="AD78" s="270"/>
      <c r="AE78" s="270"/>
      <c r="AF78" s="270"/>
      <c r="AG78" s="107"/>
      <c r="AI78" s="270"/>
      <c r="AJ78" s="270"/>
      <c r="AK78" s="270"/>
      <c r="AL78" s="270"/>
      <c r="AM78" s="270"/>
      <c r="AN78" s="270"/>
      <c r="AO78" s="270"/>
      <c r="AP78" s="107"/>
      <c r="AR78" s="270"/>
      <c r="AS78" s="270"/>
      <c r="AT78" s="270"/>
      <c r="AU78" s="270"/>
      <c r="AV78" s="270"/>
      <c r="AW78" s="270"/>
      <c r="AX78" s="270"/>
      <c r="AY78" s="106"/>
      <c r="BA78" s="81"/>
      <c r="BB78" s="81"/>
      <c r="BC78" s="81"/>
      <c r="BD78" s="81"/>
      <c r="BE78" s="81"/>
      <c r="BF78" s="81"/>
      <c r="BG78" s="81"/>
      <c r="BH78" s="87"/>
      <c r="BI78" s="87"/>
      <c r="BJ78" s="446" t="str">
        <f>IF(BJ77="Yes","Additional Comments:",IF(BJ77="No","Proceed to next question to the right ==&gt;",""))</f>
        <v/>
      </c>
      <c r="BK78" s="446"/>
      <c r="BL78" s="446"/>
      <c r="BM78" s="446"/>
      <c r="BN78" s="446"/>
      <c r="BO78" s="446"/>
      <c r="BP78" s="446"/>
      <c r="BQ78" s="108"/>
      <c r="BV78" s="257" t="str">
        <f>IF(BV77="Yes","What equipment was purchased to address the identified deficiencies?",IF(BV77="No","Proceed to next question below",""))</f>
        <v/>
      </c>
      <c r="BW78" s="257"/>
      <c r="BX78" s="257"/>
      <c r="BY78" s="257"/>
      <c r="BZ78" s="257"/>
      <c r="CA78" s="257"/>
      <c r="CB78" s="257"/>
      <c r="CC78" s="257"/>
      <c r="CD78" s="257"/>
      <c r="CE78" s="257"/>
    </row>
    <row r="79" spans="2:83" ht="41.25" customHeight="1" x14ac:dyDescent="0.25">
      <c r="B79" s="374" t="str">
        <f>IF(G73="National Registry","National Registry Written Threshold 70%",IF(G73="State","State Written Threshold 70%",IF(G73="Please Select", "")))</f>
        <v>National Registry Written Threshold 70%</v>
      </c>
      <c r="C79" s="375"/>
      <c r="D79" s="376"/>
      <c r="E79" s="29" t="str">
        <f>IF(AND($G$44&gt;=1,$G$44&lt;&gt;"Please Select"),"Cohort 
#1:","")</f>
        <v>Cohort 
#1:</v>
      </c>
      <c r="F79" s="29" t="str">
        <f>IF(AND($G$44&gt;=2,$G$44&lt;&gt;"Please Select"),"Cohort 
#2:", "")</f>
        <v>Cohort 
#2:</v>
      </c>
      <c r="G79" s="29" t="str">
        <f>IF(AND($G$44&gt;=3,$G$44&lt;&gt;"Please Select"), "Cohort 
#3:","")</f>
        <v/>
      </c>
      <c r="H79" s="29" t="str">
        <f>IF(AND($G$44&gt;=4,$G$44&lt;&gt;"Please Select"), "Cohort 
#4:","")</f>
        <v/>
      </c>
      <c r="I79" s="29" t="str">
        <f>IF(AND($G$44&gt;=5,$G$44&lt;&gt;"Please Select"), "Cohort 
#5:","")</f>
        <v/>
      </c>
      <c r="J79" s="29" t="str">
        <f>IF(AND($G$44&gt;=6,$G$44&lt;&gt;"Please Select"), "Cohort 
#6:","")</f>
        <v/>
      </c>
      <c r="K79" s="29" t="str">
        <f>IF(AND($G$44&gt;=7,$G$44&lt;&gt;"Please Select"), "Cohort 
#7:","")</f>
        <v/>
      </c>
      <c r="L79" s="29" t="str">
        <f>IF(AND($G$44&gt;=8, $G$44&lt;&gt;"Please Select"),"Cohort 
#8:","")</f>
        <v/>
      </c>
      <c r="M79" s="29" t="str">
        <f>IF(AND($G$44&gt;=9, $G$44&lt;&gt;"Please Select"),"Cohort 
#9:","")</f>
        <v/>
      </c>
      <c r="N79" s="29" t="s">
        <v>19</v>
      </c>
      <c r="P79" s="237" t="str">
        <f>IF(P75&lt;&gt;"","2)","")</f>
        <v/>
      </c>
      <c r="Q79" s="256" t="str">
        <f>IF(P75&lt;&gt;"","Does the program administer a comprehensive cognitive exam at the completion of all course work?","")</f>
        <v/>
      </c>
      <c r="R79" s="256"/>
      <c r="S79" s="256"/>
      <c r="T79" s="256"/>
      <c r="U79" s="256"/>
      <c r="V79" s="256"/>
      <c r="W79" s="256"/>
      <c r="X79" s="82"/>
      <c r="Z79" s="270"/>
      <c r="AA79" s="270"/>
      <c r="AB79" s="270"/>
      <c r="AC79" s="270"/>
      <c r="AD79" s="270"/>
      <c r="AE79" s="270"/>
      <c r="AF79" s="270"/>
      <c r="AG79" s="107"/>
      <c r="AH79" s="85"/>
      <c r="AI79" s="270"/>
      <c r="AJ79" s="270"/>
      <c r="AK79" s="270"/>
      <c r="AL79" s="270"/>
      <c r="AM79" s="270"/>
      <c r="AN79" s="270"/>
      <c r="AO79" s="270"/>
      <c r="AP79" s="107"/>
      <c r="AR79" s="270"/>
      <c r="AS79" s="270"/>
      <c r="AT79" s="270"/>
      <c r="AU79" s="270"/>
      <c r="AV79" s="270"/>
      <c r="AW79" s="270"/>
      <c r="AX79" s="270"/>
      <c r="AY79" s="106"/>
      <c r="BA79" s="256" t="str">
        <f>IF(BA77="Yes","Explain how the deficiencies identified in the annual resource assessment may have contributed to poor student performance.",IF(BA77="No","Proceed to next question on the right ==&gt;",""))</f>
        <v/>
      </c>
      <c r="BB79" s="256"/>
      <c r="BC79" s="256"/>
      <c r="BD79" s="256"/>
      <c r="BE79" s="256"/>
      <c r="BF79" s="256"/>
      <c r="BG79" s="256"/>
      <c r="BJ79" s="270"/>
      <c r="BK79" s="270"/>
      <c r="BL79" s="270"/>
      <c r="BM79" s="270"/>
      <c r="BN79" s="270"/>
      <c r="BO79" s="270"/>
      <c r="BP79" s="270"/>
      <c r="BQ79" s="106"/>
      <c r="BR79" s="106"/>
      <c r="BS79" s="106"/>
      <c r="BV79" s="442"/>
      <c r="BW79" s="442"/>
      <c r="BX79" s="442"/>
      <c r="BY79" s="442"/>
      <c r="BZ79" s="442"/>
      <c r="CA79" s="442"/>
      <c r="CB79" s="442"/>
      <c r="CC79" s="442"/>
      <c r="CD79" s="442"/>
      <c r="CE79" s="442"/>
    </row>
    <row r="80" spans="2:83" ht="18" customHeight="1" x14ac:dyDescent="0.25">
      <c r="B80" s="328" t="s">
        <v>21</v>
      </c>
      <c r="C80" s="329"/>
      <c r="D80" s="330"/>
      <c r="E80" s="65">
        <f t="shared" ref="E80:M80" si="6">IF(ISBLANK(E50),"",E50)</f>
        <v>42611</v>
      </c>
      <c r="F80" s="65">
        <f t="shared" si="6"/>
        <v>42719</v>
      </c>
      <c r="G80" s="65" t="str">
        <f t="shared" si="6"/>
        <v/>
      </c>
      <c r="H80" s="65" t="str">
        <f t="shared" si="6"/>
        <v/>
      </c>
      <c r="I80" s="65" t="str">
        <f t="shared" si="6"/>
        <v/>
      </c>
      <c r="J80" s="65" t="str">
        <f t="shared" si="6"/>
        <v/>
      </c>
      <c r="K80" s="65" t="str">
        <f t="shared" si="6"/>
        <v/>
      </c>
      <c r="L80" s="65" t="str">
        <f t="shared" si="6"/>
        <v/>
      </c>
      <c r="M80" s="65" t="str">
        <f t="shared" si="6"/>
        <v/>
      </c>
      <c r="N80" s="66"/>
      <c r="Q80" s="259" t="str">
        <f>IF(P75&lt;&gt;"","Please Select","")</f>
        <v/>
      </c>
      <c r="R80" s="259"/>
      <c r="Z80" s="270"/>
      <c r="AA80" s="270"/>
      <c r="AB80" s="270"/>
      <c r="AC80" s="270"/>
      <c r="AD80" s="270"/>
      <c r="AE80" s="270"/>
      <c r="AF80" s="270"/>
      <c r="AG80" s="107"/>
      <c r="AI80" s="270"/>
      <c r="AJ80" s="270"/>
      <c r="AK80" s="270"/>
      <c r="AL80" s="270"/>
      <c r="AM80" s="270"/>
      <c r="AN80" s="270"/>
      <c r="AO80" s="270"/>
      <c r="AP80" s="107"/>
      <c r="AR80" s="270"/>
      <c r="AS80" s="270"/>
      <c r="AT80" s="270"/>
      <c r="AU80" s="270"/>
      <c r="AV80" s="270"/>
      <c r="AW80" s="270"/>
      <c r="AX80" s="270"/>
      <c r="AY80" s="106"/>
      <c r="BA80" s="270"/>
      <c r="BB80" s="270"/>
      <c r="BC80" s="270"/>
      <c r="BD80" s="270"/>
      <c r="BE80" s="270"/>
      <c r="BF80" s="270"/>
      <c r="BG80" s="270"/>
      <c r="BJ80" s="270"/>
      <c r="BK80" s="270"/>
      <c r="BL80" s="270"/>
      <c r="BM80" s="270"/>
      <c r="BN80" s="270"/>
      <c r="BO80" s="270"/>
      <c r="BP80" s="270"/>
      <c r="BQ80" s="106"/>
      <c r="BR80" s="106"/>
      <c r="BS80" s="106"/>
      <c r="BV80" s="442"/>
      <c r="BW80" s="442"/>
      <c r="BX80" s="442"/>
      <c r="BY80" s="442"/>
      <c r="BZ80" s="442"/>
      <c r="CA80" s="442"/>
      <c r="CB80" s="442"/>
      <c r="CC80" s="442"/>
      <c r="CD80" s="442"/>
      <c r="CE80" s="442"/>
    </row>
    <row r="81" spans="1:83" ht="18" customHeight="1" x14ac:dyDescent="0.25">
      <c r="B81" s="331" t="s">
        <v>14</v>
      </c>
      <c r="C81" s="332"/>
      <c r="D81" s="25"/>
      <c r="E81" s="140">
        <f t="shared" ref="E81:M81" si="7">IF(ISBLANK(E51),"",E51)</f>
        <v>42852</v>
      </c>
      <c r="F81" s="140">
        <f t="shared" si="7"/>
        <v>42916</v>
      </c>
      <c r="G81" s="140" t="str">
        <f t="shared" si="7"/>
        <v/>
      </c>
      <c r="H81" s="140" t="str">
        <f t="shared" si="7"/>
        <v/>
      </c>
      <c r="I81" s="140" t="str">
        <f t="shared" si="7"/>
        <v/>
      </c>
      <c r="J81" s="140" t="str">
        <f t="shared" si="7"/>
        <v/>
      </c>
      <c r="K81" s="140" t="str">
        <f t="shared" si="7"/>
        <v/>
      </c>
      <c r="L81" s="140" t="str">
        <f t="shared" si="7"/>
        <v/>
      </c>
      <c r="M81" s="140" t="str">
        <f t="shared" si="7"/>
        <v/>
      </c>
      <c r="N81" s="141"/>
      <c r="Z81" s="270"/>
      <c r="AA81" s="270"/>
      <c r="AB81" s="270"/>
      <c r="AC81" s="270"/>
      <c r="AD81" s="270"/>
      <c r="AE81" s="270"/>
      <c r="AF81" s="270"/>
      <c r="AR81" s="270"/>
      <c r="AS81" s="270"/>
      <c r="AT81" s="270"/>
      <c r="AU81" s="270"/>
      <c r="AV81" s="270"/>
      <c r="AW81" s="270"/>
      <c r="AX81" s="270"/>
      <c r="BA81" s="270"/>
      <c r="BB81" s="270"/>
      <c r="BC81" s="270"/>
      <c r="BD81" s="270"/>
      <c r="BE81" s="270"/>
      <c r="BF81" s="270"/>
      <c r="BG81" s="270"/>
      <c r="BJ81" s="270"/>
      <c r="BK81" s="270"/>
      <c r="BL81" s="270"/>
      <c r="BM81" s="270"/>
      <c r="BN81" s="270"/>
      <c r="BO81" s="270"/>
      <c r="BP81" s="270"/>
      <c r="BQ81" s="106"/>
      <c r="BR81" s="106"/>
      <c r="BS81" s="106"/>
      <c r="BV81" s="442"/>
      <c r="BW81" s="442"/>
      <c r="BX81" s="442"/>
      <c r="BY81" s="442"/>
      <c r="BZ81" s="442"/>
      <c r="CA81" s="442"/>
      <c r="CB81" s="442"/>
      <c r="CC81" s="442"/>
      <c r="CD81" s="442"/>
      <c r="CE81" s="442"/>
    </row>
    <row r="82" spans="1:83" ht="70.5" customHeight="1" x14ac:dyDescent="0.25">
      <c r="B82" s="414" t="s">
        <v>106</v>
      </c>
      <c r="C82" s="415"/>
      <c r="D82" s="415"/>
      <c r="E82" s="142">
        <f t="shared" ref="E82:N82" si="8">IF(ISBLANK(E64),"",E64)</f>
        <v>15</v>
      </c>
      <c r="F82" s="142">
        <f t="shared" si="8"/>
        <v>19</v>
      </c>
      <c r="G82" s="142" t="str">
        <f t="shared" si="8"/>
        <v/>
      </c>
      <c r="H82" s="142" t="str">
        <f t="shared" si="8"/>
        <v/>
      </c>
      <c r="I82" s="142" t="str">
        <f t="shared" si="8"/>
        <v/>
      </c>
      <c r="J82" s="142" t="str">
        <f t="shared" si="8"/>
        <v/>
      </c>
      <c r="K82" s="142" t="str">
        <f t="shared" si="8"/>
        <v/>
      </c>
      <c r="L82" s="142" t="str">
        <f t="shared" si="8"/>
        <v/>
      </c>
      <c r="M82" s="142" t="str">
        <f t="shared" si="8"/>
        <v/>
      </c>
      <c r="N82" s="165">
        <f t="shared" si="8"/>
        <v>34</v>
      </c>
      <c r="AH82" s="13"/>
      <c r="AI82" s="256" t="str">
        <f>IF(P75&lt;&gt;"","Have the weak content areas and the " &amp;G73&amp; " written examination results been discussed with the Faculty, Medical Director, and the Advisory Committee?","")</f>
        <v/>
      </c>
      <c r="AJ82" s="256"/>
      <c r="AK82" s="256"/>
      <c r="AL82" s="256"/>
      <c r="AM82" s="256"/>
      <c r="AN82" s="256"/>
      <c r="AO82" s="256"/>
      <c r="BA82" s="270"/>
      <c r="BB82" s="270"/>
      <c r="BC82" s="270"/>
      <c r="BD82" s="270"/>
      <c r="BE82" s="270"/>
      <c r="BF82" s="270"/>
      <c r="BG82" s="270"/>
      <c r="BJ82" s="270"/>
      <c r="BK82" s="270"/>
      <c r="BL82" s="270"/>
      <c r="BM82" s="270"/>
      <c r="BN82" s="270"/>
      <c r="BO82" s="270"/>
      <c r="BP82" s="270"/>
      <c r="BQ82" s="106"/>
      <c r="BR82" s="106"/>
      <c r="BS82" s="106"/>
      <c r="BV82" s="442"/>
      <c r="BW82" s="442"/>
      <c r="BX82" s="442"/>
      <c r="BY82" s="442"/>
      <c r="BZ82" s="442"/>
      <c r="CA82" s="442"/>
      <c r="CB82" s="442"/>
      <c r="CC82" s="442"/>
      <c r="CD82" s="442"/>
      <c r="CE82" s="442"/>
    </row>
    <row r="83" spans="1:83" ht="35.25" customHeight="1" x14ac:dyDescent="0.25">
      <c r="B83" s="41"/>
      <c r="C83" s="321" t="s">
        <v>105</v>
      </c>
      <c r="D83" s="322"/>
      <c r="E83" s="182">
        <v>12</v>
      </c>
      <c r="F83" s="182">
        <v>12</v>
      </c>
      <c r="G83" s="182"/>
      <c r="H83" s="182"/>
      <c r="I83" s="182"/>
      <c r="J83" s="182"/>
      <c r="K83" s="182"/>
      <c r="L83" s="182"/>
      <c r="M83" s="182"/>
      <c r="N83" s="185">
        <f>IF(COUNT(E83:M83),SUM(E83:M83),"")</f>
        <v>24</v>
      </c>
      <c r="O83" s="242" t="str">
        <f>IF(P83=1, "&lt;===", "")</f>
        <v/>
      </c>
      <c r="P83" s="227" t="str">
        <f>IF(OR(AND(E82&lt;&gt;"",E83="",D349&lt;&gt;""),AND(F82&lt;&gt;"",F83="",D349&lt;&gt;""),AND(G82&lt;&gt;"",G83="",D349&lt;&gt;""),AND(H82&lt;&gt;"",H83="",D349&lt;&gt;""),AND(I82&lt;&gt;"",I83="",D349&lt;&gt;""),AND(J82&lt;&gt;"",J83="",D349&lt;&gt;""),AND(K82&lt;&gt;"",K83="",D349&lt;&gt;""),AND(L82&lt;&gt;"",L83="",D349&lt;&gt;""),AND(M82&lt;&gt;"",M83="",D349&lt;&gt;"")), 1, "")</f>
        <v/>
      </c>
      <c r="Q83" s="256" t="str">
        <f>IF(Q80="Yes","Does the comprehensive cognitive exam test different cognitive levels (i.e., knowledge, application,problem-solving)?",IF(Q80="No","Proceed to the next question to the right ==&gt;",""))</f>
        <v/>
      </c>
      <c r="R83" s="256"/>
      <c r="S83" s="256"/>
      <c r="T83" s="256"/>
      <c r="U83" s="256"/>
      <c r="V83" s="256"/>
      <c r="W83" s="256"/>
      <c r="X83" s="105"/>
      <c r="Y83" s="310" t="str">
        <f>IF(P75&lt;&gt;"","3)","")</f>
        <v/>
      </c>
      <c r="Z83" s="256" t="str">
        <f>IF(P75&lt;&gt;"","Are the students successful on the standardized courses (i.e., ACLS, trauma, pediatric courses)?","")</f>
        <v/>
      </c>
      <c r="AA83" s="256"/>
      <c r="AB83" s="256"/>
      <c r="AC83" s="256"/>
      <c r="AD83" s="256"/>
      <c r="AE83" s="256"/>
      <c r="AF83" s="256"/>
      <c r="AG83" s="105"/>
      <c r="AH83" s="85" t="str">
        <f>IF(P75&lt;&gt;"","6)","")</f>
        <v/>
      </c>
      <c r="AI83" s="256"/>
      <c r="AJ83" s="256"/>
      <c r="AK83" s="256"/>
      <c r="AL83" s="256"/>
      <c r="AM83" s="256"/>
      <c r="AN83" s="256"/>
      <c r="AO83" s="256"/>
      <c r="AP83" s="105"/>
      <c r="AQ83" s="310" t="str">
        <f>IF(P75&lt;&gt;"","8)","")</f>
        <v/>
      </c>
      <c r="AR83" s="256" t="str">
        <f>IF(P75&lt;&gt;"","Did the employer and/or graduate surveys show weaknesses in content areas?","")</f>
        <v/>
      </c>
      <c r="AS83" s="256"/>
      <c r="AT83" s="256"/>
      <c r="AU83" s="256"/>
      <c r="AV83" s="256"/>
      <c r="AW83" s="256"/>
      <c r="AX83" s="256"/>
      <c r="AY83" s="82"/>
      <c r="BA83" s="270"/>
      <c r="BB83" s="270"/>
      <c r="BC83" s="270"/>
      <c r="BD83" s="270"/>
      <c r="BE83" s="270"/>
      <c r="BF83" s="270"/>
      <c r="BG83" s="270"/>
      <c r="BJ83" s="270"/>
      <c r="BK83" s="270"/>
      <c r="BL83" s="270"/>
      <c r="BM83" s="270"/>
      <c r="BN83" s="270"/>
      <c r="BO83" s="270"/>
      <c r="BP83" s="270"/>
      <c r="BQ83" s="106"/>
      <c r="BR83" s="106"/>
      <c r="BS83" s="106"/>
      <c r="BV83" s="442"/>
      <c r="BW83" s="442"/>
      <c r="BX83" s="442"/>
      <c r="BY83" s="442"/>
      <c r="BZ83" s="442"/>
      <c r="CA83" s="442"/>
      <c r="CB83" s="442"/>
      <c r="CC83" s="442"/>
      <c r="CD83" s="442"/>
      <c r="CE83" s="442"/>
    </row>
    <row r="84" spans="1:83" ht="39.75" customHeight="1" x14ac:dyDescent="0.25">
      <c r="B84" s="143"/>
      <c r="C84" s="421" t="s">
        <v>103</v>
      </c>
      <c r="D84" s="422"/>
      <c r="E84" s="186">
        <v>13</v>
      </c>
      <c r="F84" s="186">
        <v>14</v>
      </c>
      <c r="G84" s="186"/>
      <c r="H84" s="186"/>
      <c r="I84" s="186"/>
      <c r="J84" s="186"/>
      <c r="K84" s="186"/>
      <c r="L84" s="186"/>
      <c r="M84" s="186"/>
      <c r="N84" s="187">
        <f>IF(COUNT(E84:M84),SUM(E84:M84),"")</f>
        <v>27</v>
      </c>
      <c r="O84" s="242" t="str">
        <f>IF(P84=1, "&lt;===", "")</f>
        <v/>
      </c>
      <c r="P84" s="227" t="str">
        <f>IF(OR(AND(E82&lt;&gt;"",E84="",D349&lt;&gt;""),AND(F82&lt;&gt;"",F84="",D349&lt;&gt;""),AND(G82&lt;&gt;"",G84="",D349&lt;&gt;""),AND(H82&lt;&gt;"",H84="",D349&lt;&gt;""),AND(I82&lt;&gt;"",I84="",D349&lt;&gt;""),AND(J82&lt;&gt;"",J84="",D349&lt;&gt;""),AND(K82&lt;&gt;"",K84="",D349&lt;&gt;""),AND(L82&lt;&gt;"",L84="",D349&lt;&gt;""),AND(M82&lt;&gt;"",M84="",D349&lt;&gt;"")), 1, "")</f>
        <v/>
      </c>
      <c r="Q84" s="256"/>
      <c r="R84" s="256"/>
      <c r="S84" s="256"/>
      <c r="T84" s="256"/>
      <c r="U84" s="256"/>
      <c r="V84" s="256"/>
      <c r="W84" s="256"/>
      <c r="X84" s="105"/>
      <c r="Y84" s="310"/>
      <c r="Z84" s="256"/>
      <c r="AA84" s="256"/>
      <c r="AB84" s="256"/>
      <c r="AC84" s="256"/>
      <c r="AD84" s="256"/>
      <c r="AE84" s="256"/>
      <c r="AF84" s="256"/>
      <c r="AG84" s="105"/>
      <c r="AH84" s="85"/>
      <c r="AI84" s="256"/>
      <c r="AJ84" s="256"/>
      <c r="AK84" s="256"/>
      <c r="AL84" s="256"/>
      <c r="AM84" s="256"/>
      <c r="AN84" s="256"/>
      <c r="AO84" s="256"/>
      <c r="AP84" s="105"/>
      <c r="AQ84" s="310"/>
      <c r="AR84" s="256"/>
      <c r="AS84" s="256"/>
      <c r="AT84" s="256"/>
      <c r="AU84" s="256"/>
      <c r="AV84" s="256"/>
      <c r="AW84" s="256"/>
      <c r="AX84" s="256"/>
      <c r="AY84" s="82"/>
      <c r="BA84" s="270"/>
      <c r="BB84" s="270"/>
      <c r="BC84" s="270"/>
      <c r="BD84" s="270"/>
      <c r="BE84" s="270"/>
      <c r="BF84" s="270"/>
      <c r="BG84" s="270"/>
      <c r="BJ84" s="270"/>
      <c r="BK84" s="270"/>
      <c r="BL84" s="270"/>
      <c r="BM84" s="270"/>
      <c r="BN84" s="270"/>
      <c r="BO84" s="270"/>
      <c r="BP84" s="270"/>
      <c r="BQ84" s="106"/>
      <c r="BR84" s="106"/>
      <c r="BS84" s="106"/>
      <c r="BV84" s="442"/>
      <c r="BW84" s="442"/>
      <c r="BX84" s="442"/>
      <c r="BY84" s="442"/>
      <c r="BZ84" s="442"/>
      <c r="CA84" s="442"/>
      <c r="CB84" s="442"/>
      <c r="CC84" s="442"/>
      <c r="CD84" s="442"/>
      <c r="CE84" s="442"/>
    </row>
    <row r="85" spans="1:83" ht="22.5" customHeight="1" x14ac:dyDescent="0.25">
      <c r="B85" s="293" t="str">
        <f>"Total Passing in " &amp;D4</f>
        <v>Total Passing in 2017</v>
      </c>
      <c r="C85" s="294"/>
      <c r="D85" s="25"/>
      <c r="E85" s="72">
        <f>IF(OR(E83="",E84=""),"",E84)</f>
        <v>13</v>
      </c>
      <c r="F85" s="72">
        <f t="shared" ref="F85:M85" si="9">IF(OR(F83="",F84=""),"",(F84))</f>
        <v>14</v>
      </c>
      <c r="G85" s="72" t="str">
        <f t="shared" si="9"/>
        <v/>
      </c>
      <c r="H85" s="72" t="str">
        <f t="shared" si="9"/>
        <v/>
      </c>
      <c r="I85" s="72" t="str">
        <f t="shared" si="9"/>
        <v/>
      </c>
      <c r="J85" s="72" t="str">
        <f t="shared" si="9"/>
        <v/>
      </c>
      <c r="K85" s="72" t="str">
        <f t="shared" si="9"/>
        <v/>
      </c>
      <c r="L85" s="72" t="str">
        <f t="shared" si="9"/>
        <v/>
      </c>
      <c r="M85" s="72" t="str">
        <f t="shared" si="9"/>
        <v/>
      </c>
      <c r="N85" s="67">
        <f>IF(COUNT(N83:N84),SUM(N83,N84),"")</f>
        <v>51</v>
      </c>
      <c r="P85" s="3"/>
      <c r="Q85" s="259" t="str">
        <f>IF(Q80="Yes","Please Select","")</f>
        <v/>
      </c>
      <c r="R85" s="259"/>
      <c r="Z85" s="259" t="str">
        <f>IF(P75&lt;&gt;"","Please Select","")</f>
        <v/>
      </c>
      <c r="AA85" s="259"/>
      <c r="AB85" s="6"/>
      <c r="AC85" s="6"/>
      <c r="AD85" s="6"/>
      <c r="AE85" s="6"/>
      <c r="AF85" s="6"/>
      <c r="AG85" s="6"/>
      <c r="AI85" s="259" t="str">
        <f>IF(P75&lt;&gt;"","Please Select","")</f>
        <v/>
      </c>
      <c r="AJ85" s="259"/>
      <c r="AR85" s="259" t="str">
        <f>IF(P75&lt;&gt;"","Please Select","")</f>
        <v/>
      </c>
      <c r="AS85" s="259"/>
      <c r="BA85" s="270"/>
      <c r="BB85" s="270"/>
      <c r="BC85" s="270"/>
      <c r="BD85" s="270"/>
      <c r="BE85" s="270"/>
      <c r="BF85" s="270"/>
      <c r="BG85" s="270"/>
      <c r="BJ85" s="270"/>
      <c r="BK85" s="270"/>
      <c r="BL85" s="270"/>
      <c r="BM85" s="270"/>
      <c r="BN85" s="270"/>
      <c r="BO85" s="270"/>
      <c r="BP85" s="270"/>
      <c r="BQ85" s="106"/>
      <c r="BR85" s="106"/>
      <c r="BS85" s="106"/>
    </row>
    <row r="86" spans="1:83" ht="45.75" customHeight="1" x14ac:dyDescent="0.25">
      <c r="B86" s="305" t="str">
        <f>IF(G73="National Registry","National Registry Written Pass Rate Success",IF(G73="State","State Written Pass Rate Success",IF(G73="Please Select", "")))</f>
        <v>National Registry Written Pass Rate Success</v>
      </c>
      <c r="C86" s="306"/>
      <c r="D86" s="307"/>
      <c r="E86" s="208">
        <f t="shared" ref="E86:M86" si="10">IFERROR(E85/E82,"")</f>
        <v>0.8666666666666667</v>
      </c>
      <c r="F86" s="208">
        <f t="shared" si="10"/>
        <v>0.73684210526315785</v>
      </c>
      <c r="G86" s="208" t="str">
        <f t="shared" si="10"/>
        <v/>
      </c>
      <c r="H86" s="208" t="str">
        <f t="shared" si="10"/>
        <v/>
      </c>
      <c r="I86" s="208" t="str">
        <f t="shared" si="10"/>
        <v/>
      </c>
      <c r="J86" s="208" t="str">
        <f t="shared" si="10"/>
        <v/>
      </c>
      <c r="K86" s="208" t="str">
        <f t="shared" si="10"/>
        <v/>
      </c>
      <c r="L86" s="208" t="str">
        <f t="shared" si="10"/>
        <v/>
      </c>
      <c r="M86" s="208" t="str">
        <f t="shared" si="10"/>
        <v/>
      </c>
      <c r="N86" s="209">
        <f>IFERROR(AVERAGE(E86:M86),0)</f>
        <v>0.80175438596491233</v>
      </c>
      <c r="O86" s="247" t="str">
        <f>IF(P86=1, "&lt;===", "")</f>
        <v/>
      </c>
      <c r="P86" s="227" t="str">
        <f>IF(OR(P83&lt;&gt;"",P84&lt;&gt;""), 1, "")</f>
        <v/>
      </c>
      <c r="Z86" s="6"/>
      <c r="AA86" s="6"/>
      <c r="AB86" s="6"/>
      <c r="AC86" s="6"/>
      <c r="AD86" s="6"/>
      <c r="AE86" s="6"/>
      <c r="AF86" s="6"/>
      <c r="AG86" s="6"/>
      <c r="BA86" s="270"/>
      <c r="BB86" s="270"/>
      <c r="BC86" s="270"/>
      <c r="BD86" s="270"/>
      <c r="BE86" s="270"/>
      <c r="BF86" s="270"/>
      <c r="BG86" s="270"/>
      <c r="BJ86" s="270"/>
      <c r="BK86" s="270"/>
      <c r="BL86" s="270"/>
      <c r="BM86" s="270"/>
      <c r="BN86" s="270"/>
      <c r="BO86" s="270"/>
      <c r="BP86" s="270"/>
      <c r="BQ86" s="106"/>
      <c r="BR86" s="106"/>
      <c r="BS86" s="106"/>
      <c r="BU86" s="10" t="str">
        <f>IF(P75&lt;&gt;"","12)","")</f>
        <v/>
      </c>
      <c r="BV86" s="341" t="str">
        <f>IF(P75&lt;&gt;"","After analyzing the preceding areas, what is the program's action plan for the next year?","")</f>
        <v/>
      </c>
      <c r="BW86" s="341"/>
      <c r="BX86" s="341"/>
      <c r="BY86" s="341"/>
      <c r="BZ86" s="341"/>
      <c r="CA86" s="341"/>
      <c r="CB86" s="341"/>
      <c r="CC86" s="341"/>
      <c r="CD86" s="341"/>
      <c r="CE86" s="341"/>
    </row>
    <row r="87" spans="1:83" ht="54.75" customHeight="1" x14ac:dyDescent="0.25">
      <c r="B87" s="300" t="str">
        <f>IF(AND(N85&lt;&gt;"",N86&lt;0.7,N83&lt;&gt;"",N84&lt;&gt;"",N86&lt;&gt;"",B88=""),"The outcome threshold of 70% has not been met.  
Please complete the analysis and action plan questions to the right ==&gt;.",IF(AND(N86&gt;=0.7,N83&lt;&gt;"",N84&lt;&gt;"",N86&lt;=100%,B88=""),"The outcome threshold of 70% has been met.  
Please complete the next table below.",""))</f>
        <v>The outcome threshold of 70% has been met.  
Please complete the next table below.</v>
      </c>
      <c r="C87" s="301"/>
      <c r="D87" s="301"/>
      <c r="E87" s="301"/>
      <c r="F87" s="301"/>
      <c r="G87" s="301"/>
      <c r="H87" s="301"/>
      <c r="I87" s="301"/>
      <c r="J87" s="301"/>
      <c r="K87" s="301"/>
      <c r="L87" s="301"/>
      <c r="M87" s="301"/>
      <c r="N87" s="302"/>
      <c r="Q87" s="256" t="str">
        <f>IF(Q80="Yes","What method(s) is/are used to determine that the comprehensive cognitive exam is reliable and valid for your program?",IF(Q80="No","Proceed to the next question to the right ==&gt;",""))</f>
        <v/>
      </c>
      <c r="R87" s="256"/>
      <c r="S87" s="256"/>
      <c r="T87" s="256"/>
      <c r="U87" s="256"/>
      <c r="V87" s="256"/>
      <c r="W87" s="256"/>
      <c r="X87" s="105"/>
      <c r="Y87" s="85" t="str">
        <f>IF(P75&lt;&gt;"","4)","")</f>
        <v/>
      </c>
      <c r="Z87" s="256" t="str">
        <f>IF(P75&lt;&gt;"","What are the weakest content areas of the program curriculum based on the " &amp;G73&amp; " written examination results?","")</f>
        <v/>
      </c>
      <c r="AA87" s="256"/>
      <c r="AB87" s="256"/>
      <c r="AC87" s="256"/>
      <c r="AD87" s="256"/>
      <c r="AE87" s="256"/>
      <c r="AF87" s="256"/>
      <c r="AG87" s="105"/>
      <c r="AI87" s="256" t="str">
        <f>IF(AI85="No","Explain why the weak content areas and the " &amp; G73 &amp; " written exams results have not been discussed with the Faculty?",IF(AI85="Yes","Proceed to next question on the right ==&gt;",""))</f>
        <v/>
      </c>
      <c r="AJ87" s="256"/>
      <c r="AK87" s="256"/>
      <c r="AL87" s="256"/>
      <c r="AM87" s="256"/>
      <c r="AN87" s="256"/>
      <c r="AO87" s="256"/>
      <c r="AP87" s="105"/>
      <c r="AR87" s="256" t="str">
        <f>IF(AR85="Yes","Provide specific areas of where the employer and/or graduate surveys show weaknesses in content areas.",IF(AR85="No","Proceed to next question on the right ==&gt;",""))</f>
        <v/>
      </c>
      <c r="AS87" s="256"/>
      <c r="AT87" s="256"/>
      <c r="AU87" s="256"/>
      <c r="AV87" s="256"/>
      <c r="AW87" s="256"/>
      <c r="AX87" s="256"/>
      <c r="AY87" s="105"/>
      <c r="BA87" s="270"/>
      <c r="BB87" s="270"/>
      <c r="BC87" s="270"/>
      <c r="BD87" s="270"/>
      <c r="BE87" s="270"/>
      <c r="BF87" s="270"/>
      <c r="BG87" s="270"/>
      <c r="BJ87" s="270"/>
      <c r="BK87" s="270"/>
      <c r="BL87" s="270"/>
      <c r="BM87" s="270"/>
      <c r="BN87" s="270"/>
      <c r="BO87" s="270"/>
      <c r="BP87" s="270"/>
      <c r="BQ87" s="106"/>
      <c r="BR87" s="106"/>
      <c r="BS87" s="106"/>
      <c r="BV87" s="270"/>
      <c r="BW87" s="270"/>
      <c r="BX87" s="270"/>
      <c r="BY87" s="270"/>
      <c r="BZ87" s="270"/>
      <c r="CA87" s="270"/>
      <c r="CB87" s="270"/>
      <c r="CC87" s="270"/>
      <c r="CD87" s="270"/>
      <c r="CE87" s="270"/>
    </row>
    <row r="88" spans="1:83" ht="52.5" customHeight="1" x14ac:dyDescent="0.25">
      <c r="B88" s="304" t="str">
        <f>IF(OR(AND(E86&gt;100%,E85&lt;&gt;""),AND(F86&gt;100%,F85&lt;&gt;""),AND(G86&gt;100%,G85&lt;&gt;""),AND(H86&gt;100%,H85&lt;&gt;""),AND(I86&gt;100%,I85&lt;&gt;""),AND(J86&gt;100%,J85&lt;&gt;""),AND(K86&gt;100%,K85&lt;&gt;""),AND(L86&gt;100%,L85&lt;&gt;""),AND(M86&gt;100%,M85&lt;&gt;""),AND(N86&gt;100%,N85&lt;&gt;"")),"Error has occurred; The total passing cannot be more than the total reported graduates.",IF(OR(AND(E83&gt;E84,E83&lt;&gt;"",E84&lt;&gt;""),AND(F83&gt;F84,F83&lt;&gt;"",F84&lt;&gt;""),AND(G83&gt;G84,G83&lt;&gt;"",G84&lt;&gt;""),AND(H83&gt;H84,H83&lt;&gt;"",H84&lt;&gt;""),AND(I83&gt;I84,I83&lt;&gt;"",I84&lt;&gt;""),AND(J83&gt;J84,J83&lt;&gt;"",J84&lt;&gt;""),AND(K83&gt;K84,K83&lt;&gt;"",K84&lt;&gt;""),AND(L83&gt;L84,L83&lt;&gt;"",L84&lt;&gt;""),AND(M83&gt;M84,M83&lt;&gt;"",M84&lt;&gt;"")),"Error has occurred; The 3rd attempt cumulative pass rate cannot be less than the First attempt",""))</f>
        <v/>
      </c>
      <c r="C88" s="304"/>
      <c r="D88" s="304"/>
      <c r="E88" s="304"/>
      <c r="F88" s="304"/>
      <c r="G88" s="304"/>
      <c r="H88" s="304"/>
      <c r="I88" s="304"/>
      <c r="J88" s="304"/>
      <c r="K88" s="304"/>
      <c r="L88" s="304"/>
      <c r="M88" s="304"/>
      <c r="N88" s="304"/>
      <c r="Q88" s="270"/>
      <c r="R88" s="270"/>
      <c r="S88" s="270"/>
      <c r="T88" s="270"/>
      <c r="U88" s="270"/>
      <c r="V88" s="270"/>
      <c r="W88" s="270"/>
      <c r="X88" s="107"/>
      <c r="Z88" s="270"/>
      <c r="AA88" s="270"/>
      <c r="AB88" s="270"/>
      <c r="AC88" s="270"/>
      <c r="AD88" s="270"/>
      <c r="AE88" s="270"/>
      <c r="AF88" s="270"/>
      <c r="AG88" s="107"/>
      <c r="AI88" s="270"/>
      <c r="AJ88" s="270"/>
      <c r="AK88" s="270"/>
      <c r="AL88" s="270"/>
      <c r="AM88" s="270"/>
      <c r="AN88" s="270"/>
      <c r="AO88" s="270"/>
      <c r="AP88" s="106"/>
      <c r="AR88" s="270"/>
      <c r="AS88" s="270"/>
      <c r="AT88" s="270"/>
      <c r="AU88" s="270"/>
      <c r="AV88" s="270"/>
      <c r="AW88" s="270"/>
      <c r="AX88" s="270"/>
      <c r="AY88" s="106"/>
      <c r="BA88" s="270"/>
      <c r="BB88" s="270"/>
      <c r="BC88" s="270"/>
      <c r="BD88" s="270"/>
      <c r="BE88" s="270"/>
      <c r="BF88" s="270"/>
      <c r="BG88" s="270"/>
      <c r="BI88" s="85"/>
      <c r="BJ88" s="270"/>
      <c r="BK88" s="270"/>
      <c r="BL88" s="270"/>
      <c r="BM88" s="270"/>
      <c r="BN88" s="270"/>
      <c r="BO88" s="270"/>
      <c r="BP88" s="270"/>
      <c r="BQ88" s="106"/>
      <c r="BR88" s="106"/>
      <c r="BS88" s="106"/>
      <c r="BV88" s="270"/>
      <c r="BW88" s="270"/>
      <c r="BX88" s="270"/>
      <c r="BY88" s="270"/>
      <c r="BZ88" s="270"/>
      <c r="CA88" s="270"/>
      <c r="CB88" s="270"/>
      <c r="CC88" s="270"/>
      <c r="CD88" s="270"/>
      <c r="CE88" s="270"/>
    </row>
    <row r="89" spans="1:83" x14ac:dyDescent="0.25">
      <c r="A89" s="220"/>
      <c r="Q89" s="270"/>
      <c r="R89" s="270"/>
      <c r="S89" s="270"/>
      <c r="T89" s="270"/>
      <c r="U89" s="270"/>
      <c r="V89" s="270"/>
      <c r="W89" s="270"/>
      <c r="X89" s="107"/>
      <c r="Z89" s="270"/>
      <c r="AA89" s="270"/>
      <c r="AB89" s="270"/>
      <c r="AC89" s="270"/>
      <c r="AD89" s="270"/>
      <c r="AE89" s="270"/>
      <c r="AF89" s="270"/>
      <c r="AG89" s="107"/>
      <c r="AI89" s="270"/>
      <c r="AJ89" s="270"/>
      <c r="AK89" s="270"/>
      <c r="AL89" s="270"/>
      <c r="AM89" s="270"/>
      <c r="AN89" s="270"/>
      <c r="AO89" s="270"/>
      <c r="AP89" s="106"/>
      <c r="AR89" s="270"/>
      <c r="AS89" s="270"/>
      <c r="AT89" s="270"/>
      <c r="AU89" s="270"/>
      <c r="AV89" s="270"/>
      <c r="AW89" s="270"/>
      <c r="AX89" s="270"/>
      <c r="AY89" s="106"/>
      <c r="BA89" s="270"/>
      <c r="BB89" s="270"/>
      <c r="BC89" s="270"/>
      <c r="BD89" s="270"/>
      <c r="BE89" s="270"/>
      <c r="BF89" s="270"/>
      <c r="BG89" s="270"/>
      <c r="BJ89" s="270"/>
      <c r="BK89" s="270"/>
      <c r="BL89" s="270"/>
      <c r="BM89" s="270"/>
      <c r="BN89" s="270"/>
      <c r="BO89" s="270"/>
      <c r="BP89" s="270"/>
      <c r="BQ89" s="106"/>
      <c r="BR89" s="106"/>
      <c r="BS89" s="106"/>
      <c r="BV89" s="270"/>
      <c r="BW89" s="270"/>
      <c r="BX89" s="270"/>
      <c r="BY89" s="270"/>
      <c r="BZ89" s="270"/>
      <c r="CA89" s="270"/>
      <c r="CB89" s="270"/>
      <c r="CC89" s="270"/>
      <c r="CD89" s="270"/>
      <c r="CE89" s="270"/>
    </row>
    <row r="90" spans="1:83" ht="101.25" customHeight="1" x14ac:dyDescent="0.25">
      <c r="B90" s="318" t="s">
        <v>107</v>
      </c>
      <c r="C90" s="319"/>
      <c r="D90" s="319"/>
      <c r="E90" s="319"/>
      <c r="F90" s="319"/>
      <c r="G90" s="319"/>
      <c r="H90" s="319"/>
      <c r="I90" s="319"/>
      <c r="J90" s="319"/>
      <c r="K90" s="319"/>
      <c r="L90" s="319"/>
      <c r="M90" s="319"/>
      <c r="N90" s="320"/>
      <c r="P90" s="238"/>
      <c r="Q90" s="270"/>
      <c r="R90" s="270"/>
      <c r="S90" s="270"/>
      <c r="T90" s="270"/>
      <c r="U90" s="270"/>
      <c r="V90" s="270"/>
      <c r="W90" s="270"/>
      <c r="X90" s="107"/>
      <c r="Z90" s="270"/>
      <c r="AA90" s="270"/>
      <c r="AB90" s="270"/>
      <c r="AC90" s="270"/>
      <c r="AD90" s="270"/>
      <c r="AE90" s="270"/>
      <c r="AF90" s="270"/>
      <c r="AG90" s="107"/>
      <c r="AI90" s="270"/>
      <c r="AJ90" s="270"/>
      <c r="AK90" s="270"/>
      <c r="AL90" s="270"/>
      <c r="AM90" s="270"/>
      <c r="AN90" s="270"/>
      <c r="AO90" s="270"/>
      <c r="AP90" s="106"/>
      <c r="AR90" s="270"/>
      <c r="AS90" s="270"/>
      <c r="AT90" s="270"/>
      <c r="AU90" s="270"/>
      <c r="AV90" s="270"/>
      <c r="AW90" s="270"/>
      <c r="AX90" s="270"/>
      <c r="AY90" s="106"/>
      <c r="BA90" s="270"/>
      <c r="BB90" s="270"/>
      <c r="BC90" s="270"/>
      <c r="BD90" s="270"/>
      <c r="BE90" s="270"/>
      <c r="BF90" s="270"/>
      <c r="BG90" s="270"/>
      <c r="BJ90" s="270"/>
      <c r="BK90" s="270"/>
      <c r="BL90" s="270"/>
      <c r="BM90" s="270"/>
      <c r="BN90" s="270"/>
      <c r="BO90" s="270"/>
      <c r="BP90" s="270"/>
      <c r="BQ90" s="106"/>
      <c r="BR90" s="106"/>
      <c r="BS90" s="106"/>
      <c r="BV90" s="270"/>
      <c r="BW90" s="270"/>
      <c r="BX90" s="270"/>
      <c r="BY90" s="270"/>
      <c r="BZ90" s="270"/>
      <c r="CA90" s="270"/>
      <c r="CB90" s="270"/>
      <c r="CC90" s="270"/>
      <c r="CD90" s="270"/>
      <c r="CE90" s="270"/>
    </row>
    <row r="91" spans="1:83" x14ac:dyDescent="0.25">
      <c r="B91" s="278"/>
      <c r="C91" s="278"/>
      <c r="Q91" s="270"/>
      <c r="R91" s="270"/>
      <c r="S91" s="270"/>
      <c r="T91" s="270"/>
      <c r="U91" s="270"/>
      <c r="V91" s="270"/>
      <c r="W91" s="270"/>
      <c r="Z91" s="270"/>
      <c r="AA91" s="270"/>
      <c r="AB91" s="270"/>
      <c r="AC91" s="270"/>
      <c r="AD91" s="270"/>
      <c r="AE91" s="270"/>
      <c r="AF91" s="270"/>
      <c r="AI91" s="270"/>
      <c r="AJ91" s="270"/>
      <c r="AK91" s="270"/>
      <c r="AL91" s="270"/>
      <c r="AM91" s="270"/>
      <c r="AN91" s="270"/>
      <c r="AO91" s="270"/>
      <c r="AR91" s="270"/>
      <c r="AS91" s="270"/>
      <c r="AT91" s="270"/>
      <c r="AU91" s="270"/>
      <c r="AV91" s="270"/>
      <c r="AW91" s="270"/>
      <c r="AX91" s="270"/>
      <c r="BA91" s="270"/>
      <c r="BB91" s="270"/>
      <c r="BC91" s="270"/>
      <c r="BD91" s="270"/>
      <c r="BE91" s="270"/>
      <c r="BF91" s="270"/>
      <c r="BG91" s="270"/>
      <c r="BJ91" s="270"/>
      <c r="BK91" s="270"/>
      <c r="BL91" s="270"/>
      <c r="BM91" s="270"/>
      <c r="BN91" s="270"/>
      <c r="BO91" s="270"/>
      <c r="BP91" s="270"/>
    </row>
    <row r="92" spans="1:83" x14ac:dyDescent="0.25">
      <c r="B92" s="278"/>
      <c r="C92" s="278"/>
      <c r="Q92" s="270"/>
      <c r="R92" s="270"/>
      <c r="S92" s="270"/>
      <c r="T92" s="270"/>
      <c r="U92" s="270"/>
      <c r="V92" s="270"/>
      <c r="W92" s="270"/>
      <c r="Z92" s="270"/>
      <c r="AA92" s="270"/>
      <c r="AB92" s="270"/>
      <c r="AC92" s="270"/>
      <c r="AD92" s="270"/>
      <c r="AE92" s="270"/>
      <c r="AF92" s="270"/>
      <c r="AI92" s="270"/>
      <c r="AJ92" s="270"/>
      <c r="AK92" s="270"/>
      <c r="AL92" s="270"/>
      <c r="AM92" s="270"/>
      <c r="AN92" s="270"/>
      <c r="AO92" s="270"/>
      <c r="AR92" s="270"/>
      <c r="AS92" s="270"/>
      <c r="AT92" s="270"/>
      <c r="AU92" s="270"/>
      <c r="AV92" s="270"/>
      <c r="AW92" s="270"/>
      <c r="AX92" s="270"/>
      <c r="BA92" s="270"/>
      <c r="BB92" s="270"/>
      <c r="BC92" s="270"/>
      <c r="BD92" s="270"/>
      <c r="BE92" s="270"/>
      <c r="BF92" s="270"/>
      <c r="BG92" s="270"/>
      <c r="BJ92" s="270"/>
      <c r="BK92" s="270"/>
      <c r="BL92" s="270"/>
      <c r="BM92" s="270"/>
      <c r="BN92" s="270"/>
      <c r="BO92" s="270"/>
      <c r="BP92" s="270"/>
    </row>
    <row r="94" spans="1:83" x14ac:dyDescent="0.25">
      <c r="BM94" s="299" t="str">
        <f>IF(P97&lt;&gt;"", "&lt;== Once the analysis and action plan boxes have 
        been completed, CLICK HERE to proceed to 
        the next section or scroll back", "")</f>
        <v/>
      </c>
      <c r="BN94" s="299"/>
      <c r="BO94" s="299"/>
      <c r="BP94" s="299"/>
      <c r="BQ94" s="299"/>
      <c r="CA94" s="441"/>
      <c r="CB94" s="441"/>
      <c r="CC94" s="441"/>
      <c r="CD94" s="441"/>
      <c r="CE94" s="441"/>
    </row>
    <row r="95" spans="1:83" ht="15" customHeight="1" x14ac:dyDescent="0.25">
      <c r="B95" s="19"/>
      <c r="C95" s="20">
        <f>$D$14</f>
        <v>600837</v>
      </c>
      <c r="D95" s="271" t="str">
        <f>$D$16</f>
        <v>Milwaukee Area Technical College</v>
      </c>
      <c r="E95" s="271"/>
      <c r="F95" s="271"/>
      <c r="G95" s="271"/>
      <c r="H95" s="271"/>
      <c r="I95" s="271"/>
      <c r="J95" s="271"/>
      <c r="K95" s="271"/>
      <c r="P95" s="253" t="str">
        <f>IF(P97&lt;&gt;"",$D$14,"")</f>
        <v/>
      </c>
      <c r="Q95" s="253"/>
      <c r="R95" s="255" t="str">
        <f>IF(P97&lt;&gt;"",$D$16,"")</f>
        <v/>
      </c>
      <c r="S95" s="255"/>
      <c r="T95" s="255"/>
      <c r="U95" s="255"/>
      <c r="V95" s="255"/>
      <c r="W95" s="255"/>
      <c r="X95" s="255"/>
      <c r="Y95" s="255"/>
      <c r="Z95" s="255"/>
      <c r="AA95" s="255"/>
      <c r="AI95" s="253" t="str">
        <f>IF(P97&lt;&gt;"",$D$14,"")</f>
        <v/>
      </c>
      <c r="AJ95" s="253"/>
      <c r="AK95" s="255" t="str">
        <f>IF(P97&lt;&gt;"",$D$16,"")</f>
        <v/>
      </c>
      <c r="AL95" s="255"/>
      <c r="AM95" s="255"/>
      <c r="AN95" s="255"/>
      <c r="AO95" s="255"/>
      <c r="AP95" s="255"/>
      <c r="AQ95" s="255"/>
      <c r="AR95" s="255"/>
      <c r="AS95" s="255"/>
      <c r="AT95" s="255"/>
      <c r="BA95" s="253" t="str">
        <f>IF(P97&lt;&gt;"",$D$14,"")</f>
        <v/>
      </c>
      <c r="BB95" s="253"/>
      <c r="BC95" s="255" t="str">
        <f>IF(P97&lt;&gt;"",$D$16,"")</f>
        <v/>
      </c>
      <c r="BD95" s="255"/>
      <c r="BE95" s="255"/>
      <c r="BF95" s="255"/>
      <c r="BG95" s="255"/>
      <c r="BH95" s="255"/>
      <c r="BI95" s="255"/>
      <c r="BJ95" s="255"/>
      <c r="BK95" s="255"/>
      <c r="BL95" s="255"/>
      <c r="BM95" s="299"/>
      <c r="BN95" s="299"/>
      <c r="BO95" s="299"/>
      <c r="BP95" s="299"/>
      <c r="BQ95" s="299"/>
      <c r="BT95" s="253"/>
      <c r="BU95" s="253"/>
      <c r="BV95" s="255"/>
      <c r="BW95" s="255"/>
      <c r="BX95" s="255"/>
      <c r="BY95" s="255"/>
      <c r="BZ95" s="255"/>
      <c r="CA95" s="441"/>
      <c r="CB95" s="441"/>
      <c r="CC95" s="441"/>
      <c r="CD95" s="441"/>
      <c r="CE95" s="441"/>
    </row>
    <row r="96" spans="1:83" x14ac:dyDescent="0.25">
      <c r="B96" s="278"/>
      <c r="C96" s="278"/>
      <c r="R96" s="255" t="str">
        <f>IF(P97&lt;&gt;"","Positive (Job) Placement","")</f>
        <v/>
      </c>
      <c r="S96" s="255"/>
      <c r="T96" s="255"/>
      <c r="U96" s="255"/>
      <c r="V96" s="255"/>
      <c r="AK96" s="255" t="str">
        <f>IF(P97&lt;&gt;"","Positive (Job) Placement","")</f>
        <v/>
      </c>
      <c r="AL96" s="255"/>
      <c r="AM96" s="255"/>
      <c r="AN96" s="255"/>
      <c r="AO96" s="255"/>
      <c r="BC96" s="255" t="str">
        <f>IF(P97&lt;&gt;"","Positive (Job) Placement","")</f>
        <v/>
      </c>
      <c r="BD96" s="255"/>
      <c r="BE96" s="255"/>
      <c r="BF96" s="255"/>
      <c r="BG96" s="255"/>
      <c r="BM96" s="299"/>
      <c r="BN96" s="299"/>
      <c r="BO96" s="299"/>
      <c r="BP96" s="299"/>
      <c r="BQ96" s="299"/>
      <c r="BV96" s="255"/>
      <c r="BW96" s="255"/>
      <c r="BX96" s="255"/>
      <c r="BY96" s="255"/>
      <c r="BZ96" s="255"/>
      <c r="CA96" s="441"/>
      <c r="CB96" s="441"/>
      <c r="CC96" s="441"/>
      <c r="CD96" s="441"/>
      <c r="CE96" s="441"/>
    </row>
    <row r="97" spans="2:83" ht="18.75" customHeight="1" x14ac:dyDescent="0.25">
      <c r="B97" s="52"/>
      <c r="C97" s="52"/>
      <c r="D97" s="52"/>
      <c r="E97" s="52"/>
      <c r="F97" s="52"/>
      <c r="G97" s="96"/>
      <c r="H97" s="96"/>
      <c r="P97" s="333" t="str">
        <f>IF(AND(B109="The outcome threshold of 70% has not been met.  
Please complete the analysis and action plan questions to the right ==&gt;.",B110=""),"1)","")</f>
        <v/>
      </c>
      <c r="Q97" s="257" t="str">
        <f>IF(P97&lt;&gt;"","When do you survey your graduates to determine if they are employed (or volunteering) as a Paramedic?","")</f>
        <v/>
      </c>
      <c r="R97" s="257"/>
      <c r="S97" s="257"/>
      <c r="T97" s="257"/>
      <c r="U97" s="257"/>
      <c r="V97" s="257"/>
      <c r="W97" s="257"/>
      <c r="X97" s="86"/>
      <c r="Y97" s="260" t="str">
        <f>IF(P97&lt;&gt;"","3)","")</f>
        <v/>
      </c>
      <c r="Z97" s="257" t="str">
        <f>IF(P97&lt;&gt;"","Does your institution have a placement office?","")</f>
        <v/>
      </c>
      <c r="AA97" s="257"/>
      <c r="AB97" s="257"/>
      <c r="AC97" s="257"/>
      <c r="AD97" s="257"/>
      <c r="AE97" s="257"/>
      <c r="AF97" s="257"/>
      <c r="AG97" s="81"/>
      <c r="AI97" s="257" t="str">
        <f>IF(P97&lt;&gt;"","Why do you think your graduates are not employed in their field or continuing their education within 10 months of graduation?","")</f>
        <v/>
      </c>
      <c r="AJ97" s="257"/>
      <c r="AK97" s="257"/>
      <c r="AL97" s="257"/>
      <c r="AM97" s="257"/>
      <c r="AN97" s="257"/>
      <c r="AO97" s="257"/>
      <c r="AQ97" s="260" t="str">
        <f>IF(P97&lt;&gt;"","5)","")</f>
        <v/>
      </c>
      <c r="AR97" s="257" t="str">
        <f>IF(P97&lt;&gt;"","List specific conclusions resulting from your analysis:","")</f>
        <v/>
      </c>
      <c r="AS97" s="257"/>
      <c r="AT97" s="257"/>
      <c r="AU97" s="257"/>
      <c r="AV97" s="257"/>
      <c r="AW97" s="257"/>
      <c r="AX97" s="257"/>
      <c r="AY97" s="81"/>
      <c r="AZ97" s="260" t="str">
        <f>IF(P97&lt;&gt;"","6)","")</f>
        <v/>
      </c>
      <c r="BA97" s="257" t="str">
        <f>IF(P97&lt;&gt;"","What is the program's action plan and the timetable for those actions to address each of your conclusions?","")</f>
        <v/>
      </c>
      <c r="BB97" s="257"/>
      <c r="BC97" s="257"/>
      <c r="BD97" s="257"/>
      <c r="BE97" s="257"/>
      <c r="BF97" s="257"/>
      <c r="BG97" s="257"/>
      <c r="BH97" s="81"/>
      <c r="BJ97" s="81"/>
      <c r="BK97" s="81"/>
      <c r="BL97" s="81"/>
      <c r="BM97" s="81"/>
      <c r="BN97" s="81"/>
      <c r="BO97" s="81"/>
      <c r="BP97" s="81"/>
    </row>
    <row r="98" spans="2:83" x14ac:dyDescent="0.25">
      <c r="P98" s="333"/>
      <c r="Q98" s="257"/>
      <c r="R98" s="257"/>
      <c r="S98" s="257"/>
      <c r="T98" s="257"/>
      <c r="U98" s="257"/>
      <c r="V98" s="257"/>
      <c r="W98" s="257"/>
      <c r="X98" s="86"/>
      <c r="Y98" s="260"/>
      <c r="Z98" s="257"/>
      <c r="AA98" s="257"/>
      <c r="AB98" s="257"/>
      <c r="AC98" s="257"/>
      <c r="AD98" s="257"/>
      <c r="AE98" s="257"/>
      <c r="AF98" s="257"/>
      <c r="AG98" s="81"/>
      <c r="AH98" s="10" t="str">
        <f>IF(P97&lt;&gt;"","4)","")</f>
        <v/>
      </c>
      <c r="AI98" s="257"/>
      <c r="AJ98" s="257"/>
      <c r="AK98" s="257"/>
      <c r="AL98" s="257"/>
      <c r="AM98" s="257"/>
      <c r="AN98" s="257"/>
      <c r="AO98" s="257"/>
      <c r="AP98" s="86"/>
      <c r="AQ98" s="260"/>
      <c r="AR98" s="257"/>
      <c r="AS98" s="257"/>
      <c r="AT98" s="257"/>
      <c r="AU98" s="257"/>
      <c r="AV98" s="257"/>
      <c r="AW98" s="257"/>
      <c r="AX98" s="257"/>
      <c r="AY98" s="81"/>
      <c r="AZ98" s="260"/>
      <c r="BA98" s="257"/>
      <c r="BB98" s="257"/>
      <c r="BC98" s="257"/>
      <c r="BD98" s="257"/>
      <c r="BE98" s="257"/>
      <c r="BF98" s="257"/>
      <c r="BG98" s="257"/>
      <c r="BH98" s="81"/>
      <c r="BI98" s="10"/>
      <c r="BJ98" s="81"/>
      <c r="BK98" s="81"/>
      <c r="BL98" s="81"/>
      <c r="BM98" s="81"/>
      <c r="BN98" s="81"/>
      <c r="BO98" s="81"/>
      <c r="BP98" s="81"/>
      <c r="BQ98" s="86"/>
      <c r="BR98" s="86"/>
      <c r="BS98" s="86"/>
      <c r="BU98" s="10"/>
      <c r="BV98" s="341"/>
      <c r="BW98" s="341"/>
      <c r="BX98" s="341"/>
      <c r="BY98" s="341"/>
      <c r="BZ98" s="341"/>
      <c r="CA98" s="341"/>
      <c r="CB98" s="341"/>
      <c r="CC98" s="341"/>
      <c r="CD98" s="341"/>
      <c r="CE98" s="341"/>
    </row>
    <row r="99" spans="2:83" ht="23.25" customHeight="1" x14ac:dyDescent="0.3">
      <c r="B99" s="90" t="s">
        <v>35</v>
      </c>
      <c r="C99" s="91"/>
      <c r="D99" s="91"/>
      <c r="E99" s="91"/>
      <c r="F99" s="91"/>
      <c r="G99" s="91"/>
      <c r="H99" s="91"/>
      <c r="I99" s="91"/>
      <c r="J99" s="91"/>
      <c r="K99" s="91"/>
      <c r="L99" s="91"/>
      <c r="M99" s="91"/>
      <c r="N99" s="92"/>
      <c r="P99" s="234"/>
      <c r="Q99" s="261"/>
      <c r="R99" s="261"/>
      <c r="S99" s="261"/>
      <c r="T99" s="261"/>
      <c r="U99" s="261"/>
      <c r="V99" s="261"/>
      <c r="W99" s="261"/>
      <c r="X99" s="86"/>
      <c r="Z99" s="262" t="str">
        <f>IF(P97&lt;&gt;"","Please Select","")</f>
        <v/>
      </c>
      <c r="AA99" s="262"/>
      <c r="AB99" s="107"/>
      <c r="AC99" s="107"/>
      <c r="AD99" s="107"/>
      <c r="AE99" s="107"/>
      <c r="AF99" s="107"/>
      <c r="AG99" s="107"/>
      <c r="AI99" s="270"/>
      <c r="AJ99" s="270"/>
      <c r="AK99" s="270"/>
      <c r="AL99" s="270"/>
      <c r="AM99" s="270"/>
      <c r="AN99" s="270"/>
      <c r="AO99" s="270"/>
      <c r="AP99" s="107"/>
      <c r="AR99" s="443"/>
      <c r="AS99" s="443"/>
      <c r="AT99" s="443"/>
      <c r="AU99" s="443"/>
      <c r="AV99" s="443"/>
      <c r="AW99" s="443"/>
      <c r="AX99" s="443"/>
      <c r="AY99" s="106"/>
      <c r="BA99" s="270"/>
      <c r="BB99" s="270"/>
      <c r="BC99" s="270"/>
      <c r="BD99" s="270"/>
      <c r="BE99" s="270"/>
      <c r="BF99" s="270"/>
      <c r="BG99" s="270"/>
      <c r="BH99" s="42"/>
      <c r="BJ99" s="259"/>
      <c r="BK99" s="259"/>
      <c r="BV99" s="224"/>
      <c r="BW99" s="224"/>
    </row>
    <row r="100" spans="2:83" ht="62.25" customHeight="1" x14ac:dyDescent="0.25">
      <c r="B100" s="418" t="s">
        <v>61</v>
      </c>
      <c r="C100" s="419"/>
      <c r="D100" s="419"/>
      <c r="E100" s="419"/>
      <c r="F100" s="419"/>
      <c r="G100" s="419"/>
      <c r="H100" s="419"/>
      <c r="I100" s="419"/>
      <c r="J100" s="419"/>
      <c r="K100" s="419"/>
      <c r="L100" s="419"/>
      <c r="M100" s="419"/>
      <c r="N100" s="420"/>
      <c r="Q100" s="261"/>
      <c r="R100" s="261"/>
      <c r="S100" s="261"/>
      <c r="T100" s="261"/>
      <c r="U100" s="261"/>
      <c r="V100" s="261"/>
      <c r="W100" s="261"/>
      <c r="X100" s="89"/>
      <c r="Z100" s="263" t="str">
        <f>IF(Z99="No","Proceed to next question on the right ==&gt;","")</f>
        <v/>
      </c>
      <c r="AA100" s="263"/>
      <c r="AB100" s="263"/>
      <c r="AC100" s="263"/>
      <c r="AD100" s="263"/>
      <c r="AE100" s="263"/>
      <c r="AF100" s="263"/>
      <c r="AG100" s="107"/>
      <c r="AI100" s="270"/>
      <c r="AJ100" s="270"/>
      <c r="AK100" s="270"/>
      <c r="AL100" s="270"/>
      <c r="AM100" s="270"/>
      <c r="AN100" s="270"/>
      <c r="AO100" s="270"/>
      <c r="AP100" s="107"/>
      <c r="AR100" s="443"/>
      <c r="AS100" s="443"/>
      <c r="AT100" s="443"/>
      <c r="AU100" s="443"/>
      <c r="AV100" s="443"/>
      <c r="AW100" s="443"/>
      <c r="AX100" s="443"/>
      <c r="AY100" s="106"/>
      <c r="BA100" s="270"/>
      <c r="BB100" s="270"/>
      <c r="BC100" s="270"/>
      <c r="BD100" s="270"/>
      <c r="BE100" s="270"/>
      <c r="BF100" s="270"/>
      <c r="BG100" s="270"/>
      <c r="BH100" s="81"/>
      <c r="BI100" s="87"/>
      <c r="BJ100" s="108"/>
      <c r="BK100" s="108"/>
      <c r="BL100" s="108"/>
      <c r="BM100" s="108"/>
      <c r="BN100" s="108"/>
      <c r="BO100" s="108"/>
      <c r="BP100" s="108"/>
      <c r="BQ100" s="108"/>
      <c r="BV100" s="81"/>
      <c r="BW100" s="81"/>
      <c r="BX100" s="81"/>
      <c r="BY100" s="81"/>
      <c r="BZ100" s="81"/>
      <c r="CA100" s="81"/>
      <c r="CB100" s="81"/>
      <c r="CC100" s="81"/>
      <c r="CD100" s="81"/>
      <c r="CE100" s="81"/>
    </row>
    <row r="101" spans="2:83" ht="41.25" customHeight="1" x14ac:dyDescent="0.25">
      <c r="B101" s="356" t="s">
        <v>36</v>
      </c>
      <c r="C101" s="357"/>
      <c r="D101" s="358"/>
      <c r="E101" s="93" t="str">
        <f>IF(AND($G$44&gt;=1,$G$44&lt;&gt;"Please Select"),"Cohort 
#1:","")</f>
        <v>Cohort 
#1:</v>
      </c>
      <c r="F101" s="93" t="str">
        <f>IF(AND($G$44&gt;=2,$G$44&lt;&gt;"Please Select"),"Cohort 
#2:", "")</f>
        <v>Cohort 
#2:</v>
      </c>
      <c r="G101" s="93" t="str">
        <f>IF(AND($G$44&gt;=3,$G$44&lt;&gt;"Please Select"), "Cohort 
#3:","")</f>
        <v/>
      </c>
      <c r="H101" s="93" t="str">
        <f>IF(AND($G$44&gt;=4,$G$44&lt;&gt;"Please Select"), "Cohort 
#4:","")</f>
        <v/>
      </c>
      <c r="I101" s="93" t="str">
        <f>IF(AND($G$44&gt;=5,$G$44&lt;&gt;"Please Select"), "Cohort 
#5:","")</f>
        <v/>
      </c>
      <c r="J101" s="93" t="str">
        <f>IF(AND($G$44&gt;=6,$G$44&lt;&gt;"Please Select"), "Cohort 
#6:","")</f>
        <v/>
      </c>
      <c r="K101" s="93" t="str">
        <f>IF(AND($G$44&gt;=7,$G$44&lt;&gt;"Please Select"), "Cohort 
#7:","")</f>
        <v/>
      </c>
      <c r="L101" s="93" t="str">
        <f>IF(AND($G$44&gt;=8, $G$44&lt;&gt;"Please Select"),"Cohort 
#8:","")</f>
        <v/>
      </c>
      <c r="M101" s="93" t="str">
        <f>IF(AND($G$44&gt;=9, $G$44&lt;&gt;"Please Select"),"Cohort 
#9:","")</f>
        <v/>
      </c>
      <c r="N101" s="93" t="s">
        <v>19</v>
      </c>
      <c r="P101" s="237"/>
      <c r="Q101" s="261"/>
      <c r="R101" s="261"/>
      <c r="S101" s="261"/>
      <c r="T101" s="261"/>
      <c r="U101" s="261"/>
      <c r="V101" s="261"/>
      <c r="W101" s="261"/>
      <c r="X101" s="82"/>
      <c r="Z101" s="447" t="str">
        <f>IF(Z99="Yes","Do your graduates utilize the (placement office) service?","")</f>
        <v/>
      </c>
      <c r="AA101" s="447"/>
      <c r="AB101" s="447"/>
      <c r="AC101" s="447"/>
      <c r="AD101" s="447"/>
      <c r="AE101" s="447"/>
      <c r="AF101" s="447"/>
      <c r="AG101" s="107"/>
      <c r="AH101" s="85"/>
      <c r="AI101" s="270"/>
      <c r="AJ101" s="270"/>
      <c r="AK101" s="270"/>
      <c r="AL101" s="270"/>
      <c r="AM101" s="270"/>
      <c r="AN101" s="270"/>
      <c r="AO101" s="270"/>
      <c r="AP101" s="107"/>
      <c r="AR101" s="443"/>
      <c r="AS101" s="443"/>
      <c r="AT101" s="443"/>
      <c r="AU101" s="443"/>
      <c r="AV101" s="443"/>
      <c r="AW101" s="443"/>
      <c r="AX101" s="443"/>
      <c r="AY101" s="106"/>
      <c r="BA101" s="270"/>
      <c r="BB101" s="270"/>
      <c r="BC101" s="270"/>
      <c r="BD101" s="270"/>
      <c r="BE101" s="270"/>
      <c r="BF101" s="270"/>
      <c r="BG101" s="270"/>
      <c r="BH101" s="105"/>
      <c r="BJ101" s="106"/>
      <c r="BK101" s="106"/>
      <c r="BL101" s="106"/>
      <c r="BM101" s="106"/>
      <c r="BN101" s="106"/>
      <c r="BO101" s="106"/>
      <c r="BP101" s="106"/>
      <c r="BQ101" s="106"/>
      <c r="BR101" s="106"/>
      <c r="BS101" s="106"/>
      <c r="BV101" s="223"/>
      <c r="BW101" s="223"/>
      <c r="BX101" s="223"/>
      <c r="BY101" s="223"/>
      <c r="BZ101" s="223"/>
      <c r="CA101" s="223"/>
      <c r="CB101" s="223"/>
      <c r="CC101" s="223"/>
      <c r="CD101" s="223"/>
      <c r="CE101" s="223"/>
    </row>
    <row r="102" spans="2:83" ht="18" customHeight="1" x14ac:dyDescent="0.25">
      <c r="B102" s="353" t="s">
        <v>21</v>
      </c>
      <c r="C102" s="354"/>
      <c r="D102" s="355"/>
      <c r="E102" s="94">
        <f t="shared" ref="E102:M102" si="11">IF(ISBLANK(E50),"",E50)</f>
        <v>42611</v>
      </c>
      <c r="F102" s="94">
        <f t="shared" si="11"/>
        <v>42719</v>
      </c>
      <c r="G102" s="94" t="str">
        <f t="shared" si="11"/>
        <v/>
      </c>
      <c r="H102" s="94" t="str">
        <f t="shared" si="11"/>
        <v/>
      </c>
      <c r="I102" s="94" t="str">
        <f t="shared" si="11"/>
        <v/>
      </c>
      <c r="J102" s="94" t="str">
        <f t="shared" si="11"/>
        <v/>
      </c>
      <c r="K102" s="94" t="str">
        <f t="shared" si="11"/>
        <v/>
      </c>
      <c r="L102" s="94" t="str">
        <f t="shared" si="11"/>
        <v/>
      </c>
      <c r="M102" s="94" t="str">
        <f t="shared" si="11"/>
        <v/>
      </c>
      <c r="N102" s="95"/>
      <c r="Q102" s="261"/>
      <c r="R102" s="261"/>
      <c r="S102" s="261"/>
      <c r="T102" s="261"/>
      <c r="U102" s="261"/>
      <c r="V102" s="261"/>
      <c r="W102" s="261"/>
      <c r="Z102" s="262" t="str">
        <f>IF(Z99="Yes","Please Select","")</f>
        <v/>
      </c>
      <c r="AA102" s="262"/>
      <c r="AB102" s="107"/>
      <c r="AC102" s="107"/>
      <c r="AD102" s="107"/>
      <c r="AE102" s="107"/>
      <c r="AF102" s="107"/>
      <c r="AG102" s="107"/>
      <c r="AI102" s="270"/>
      <c r="AJ102" s="270"/>
      <c r="AK102" s="270"/>
      <c r="AL102" s="270"/>
      <c r="AM102" s="270"/>
      <c r="AN102" s="270"/>
      <c r="AO102" s="270"/>
      <c r="AP102" s="107"/>
      <c r="AR102" s="443"/>
      <c r="AS102" s="443"/>
      <c r="AT102" s="443"/>
      <c r="AU102" s="443"/>
      <c r="AV102" s="443"/>
      <c r="AW102" s="443"/>
      <c r="AX102" s="443"/>
      <c r="AY102" s="106"/>
      <c r="BA102" s="270"/>
      <c r="BB102" s="270"/>
      <c r="BC102" s="270"/>
      <c r="BD102" s="270"/>
      <c r="BE102" s="270"/>
      <c r="BF102" s="270"/>
      <c r="BG102" s="270"/>
      <c r="BH102" s="107"/>
      <c r="BJ102" s="106"/>
      <c r="BK102" s="106"/>
      <c r="BL102" s="106"/>
      <c r="BM102" s="106"/>
      <c r="BN102" s="106"/>
      <c r="BO102" s="106"/>
      <c r="BP102" s="106"/>
      <c r="BQ102" s="106"/>
      <c r="BR102" s="106"/>
      <c r="BS102" s="106"/>
      <c r="BV102" s="223"/>
      <c r="BW102" s="223"/>
      <c r="BX102" s="223"/>
      <c r="BY102" s="223"/>
      <c r="BZ102" s="223"/>
      <c r="CA102" s="223"/>
      <c r="CB102" s="223"/>
      <c r="CC102" s="223"/>
      <c r="CD102" s="223"/>
      <c r="CE102" s="223"/>
    </row>
    <row r="103" spans="2:83" ht="18" customHeight="1" x14ac:dyDescent="0.25">
      <c r="B103" s="331" t="s">
        <v>14</v>
      </c>
      <c r="C103" s="332"/>
      <c r="D103" s="25"/>
      <c r="E103" s="140">
        <f t="shared" ref="E103:M103" si="12">IF(ISBLANK(E51),"",E51)</f>
        <v>42852</v>
      </c>
      <c r="F103" s="140">
        <f t="shared" si="12"/>
        <v>42916</v>
      </c>
      <c r="G103" s="140" t="str">
        <f t="shared" si="12"/>
        <v/>
      </c>
      <c r="H103" s="140" t="str">
        <f t="shared" si="12"/>
        <v/>
      </c>
      <c r="I103" s="140" t="str">
        <f t="shared" si="12"/>
        <v/>
      </c>
      <c r="J103" s="140" t="str">
        <f t="shared" si="12"/>
        <v/>
      </c>
      <c r="K103" s="140" t="str">
        <f t="shared" si="12"/>
        <v/>
      </c>
      <c r="L103" s="140" t="str">
        <f t="shared" si="12"/>
        <v/>
      </c>
      <c r="M103" s="140" t="str">
        <f t="shared" si="12"/>
        <v/>
      </c>
      <c r="N103" s="141"/>
      <c r="Q103" s="261"/>
      <c r="R103" s="261"/>
      <c r="S103" s="261"/>
      <c r="T103" s="261"/>
      <c r="U103" s="261"/>
      <c r="V103" s="261"/>
      <c r="W103" s="261"/>
      <c r="Z103" s="310" t="str">
        <f>IF(Z99="Yes","Describe:","")</f>
        <v/>
      </c>
      <c r="AA103" s="310"/>
      <c r="AI103" s="270"/>
      <c r="AJ103" s="270"/>
      <c r="AK103" s="270"/>
      <c r="AL103" s="270"/>
      <c r="AM103" s="270"/>
      <c r="AN103" s="270"/>
      <c r="AO103" s="270"/>
      <c r="AR103" s="443"/>
      <c r="AS103" s="443"/>
      <c r="AT103" s="443"/>
      <c r="AU103" s="443"/>
      <c r="AV103" s="443"/>
      <c r="AW103" s="443"/>
      <c r="AX103" s="443"/>
      <c r="BA103" s="270"/>
      <c r="BB103" s="270"/>
      <c r="BC103" s="270"/>
      <c r="BD103" s="270"/>
      <c r="BE103" s="270"/>
      <c r="BF103" s="270"/>
      <c r="BG103" s="270"/>
      <c r="BH103" s="107"/>
      <c r="BJ103" s="106"/>
      <c r="BK103" s="106"/>
      <c r="BL103" s="106"/>
      <c r="BM103" s="106"/>
      <c r="BN103" s="106"/>
      <c r="BO103" s="106"/>
      <c r="BP103" s="106"/>
      <c r="BQ103" s="106"/>
      <c r="BR103" s="106"/>
      <c r="BS103" s="106"/>
      <c r="BV103" s="223"/>
      <c r="BW103" s="223"/>
      <c r="BX103" s="223"/>
      <c r="BY103" s="223"/>
      <c r="BZ103" s="223"/>
      <c r="CA103" s="223"/>
      <c r="CB103" s="223"/>
      <c r="CC103" s="223"/>
      <c r="CD103" s="223"/>
      <c r="CE103" s="223"/>
    </row>
    <row r="104" spans="2:83" ht="55.5" customHeight="1" x14ac:dyDescent="0.25">
      <c r="B104" s="377" t="s">
        <v>65</v>
      </c>
      <c r="C104" s="378"/>
      <c r="D104" s="378"/>
      <c r="E104" s="145">
        <f t="shared" ref="E104:N104" si="13">IF(ISBLANK(E64),"",E64)</f>
        <v>15</v>
      </c>
      <c r="F104" s="145">
        <f t="shared" si="13"/>
        <v>19</v>
      </c>
      <c r="G104" s="145" t="str">
        <f t="shared" si="13"/>
        <v/>
      </c>
      <c r="H104" s="145" t="str">
        <f t="shared" si="13"/>
        <v/>
      </c>
      <c r="I104" s="145" t="str">
        <f t="shared" si="13"/>
        <v/>
      </c>
      <c r="J104" s="145" t="str">
        <f t="shared" si="13"/>
        <v/>
      </c>
      <c r="K104" s="145" t="str">
        <f t="shared" si="13"/>
        <v/>
      </c>
      <c r="L104" s="145" t="str">
        <f t="shared" si="13"/>
        <v/>
      </c>
      <c r="M104" s="145" t="str">
        <f t="shared" si="13"/>
        <v/>
      </c>
      <c r="N104" s="164">
        <f t="shared" si="13"/>
        <v>34</v>
      </c>
      <c r="Q104" s="261"/>
      <c r="R104" s="261"/>
      <c r="S104" s="261"/>
      <c r="T104" s="261"/>
      <c r="U104" s="261"/>
      <c r="V104" s="261"/>
      <c r="W104" s="261"/>
      <c r="Z104" s="443"/>
      <c r="AA104" s="443"/>
      <c r="AB104" s="443"/>
      <c r="AC104" s="443"/>
      <c r="AD104" s="443"/>
      <c r="AE104" s="443"/>
      <c r="AF104" s="443"/>
      <c r="AI104" s="270"/>
      <c r="AJ104" s="270"/>
      <c r="AK104" s="270"/>
      <c r="AL104" s="270"/>
      <c r="AM104" s="270"/>
      <c r="AN104" s="270"/>
      <c r="AO104" s="270"/>
      <c r="AR104" s="443"/>
      <c r="AS104" s="443"/>
      <c r="AT104" s="443"/>
      <c r="AU104" s="443"/>
      <c r="AV104" s="443"/>
      <c r="AW104" s="443"/>
      <c r="AX104" s="443"/>
      <c r="BA104" s="270"/>
      <c r="BB104" s="270"/>
      <c r="BC104" s="270"/>
      <c r="BD104" s="270"/>
      <c r="BE104" s="270"/>
      <c r="BF104" s="270"/>
      <c r="BG104" s="270"/>
      <c r="BH104" s="107"/>
      <c r="BJ104" s="106"/>
      <c r="BK104" s="106"/>
      <c r="BL104" s="106"/>
      <c r="BM104" s="106"/>
      <c r="BN104" s="106"/>
      <c r="BO104" s="106"/>
      <c r="BP104" s="106"/>
      <c r="BQ104" s="106"/>
      <c r="BR104" s="106"/>
      <c r="BS104" s="106"/>
      <c r="BV104" s="223"/>
      <c r="BW104" s="223"/>
      <c r="BX104" s="223"/>
      <c r="BY104" s="223"/>
      <c r="BZ104" s="223"/>
      <c r="CA104" s="223"/>
      <c r="CB104" s="223"/>
      <c r="CC104" s="223"/>
      <c r="CD104" s="223"/>
      <c r="CE104" s="223"/>
    </row>
    <row r="105" spans="2:83" ht="23.25" customHeight="1" x14ac:dyDescent="0.25">
      <c r="B105" s="41"/>
      <c r="C105" s="176" t="s">
        <v>47</v>
      </c>
      <c r="D105" s="144"/>
      <c r="E105" s="182">
        <v>13</v>
      </c>
      <c r="F105" s="182">
        <v>19</v>
      </c>
      <c r="G105" s="182"/>
      <c r="H105" s="182"/>
      <c r="I105" s="182"/>
      <c r="J105" s="182"/>
      <c r="K105" s="182"/>
      <c r="L105" s="182"/>
      <c r="M105" s="182"/>
      <c r="N105" s="185">
        <f>IF(COUNT(E105:M105),SUM(E105:M105),"")</f>
        <v>32</v>
      </c>
      <c r="O105" s="226" t="str">
        <f>IF(P105=1, "&lt;===", "")</f>
        <v/>
      </c>
      <c r="P105" s="227" t="str">
        <f>IF(OR(AND(E104&lt;&gt;"",E105="",D349&lt;&gt;""),AND(F104&lt;&gt;"",F105="",D349&lt;&gt;""),AND(G104&lt;&gt;"",G105="",D349&lt;&gt;""),AND(H104&lt;&gt;"",H105="",D349&lt;&gt;""),AND(I104&lt;&gt;"",I105="",D349&lt;&gt;""),AND(J104&lt;&gt;"",J105="",D349&lt;&gt;""),AND(K104&lt;&gt;"",K105="",D349&lt;&gt;""),AND(L104&lt;&gt;"",L105="",D349&lt;&gt;""),AND(M104&lt;&gt;"",M105="",D349&lt;&gt;"")), 1, "")</f>
        <v/>
      </c>
      <c r="Q105" s="261"/>
      <c r="R105" s="261"/>
      <c r="S105" s="261"/>
      <c r="T105" s="261"/>
      <c r="U105" s="261"/>
      <c r="V105" s="261"/>
      <c r="W105" s="261"/>
      <c r="X105" s="105"/>
      <c r="Y105" s="310"/>
      <c r="Z105" s="443"/>
      <c r="AA105" s="443"/>
      <c r="AB105" s="443"/>
      <c r="AC105" s="443"/>
      <c r="AD105" s="443"/>
      <c r="AE105" s="443"/>
      <c r="AF105" s="443"/>
      <c r="AG105" s="105"/>
      <c r="AH105" s="310"/>
      <c r="AI105" s="270"/>
      <c r="AJ105" s="270"/>
      <c r="AK105" s="270"/>
      <c r="AL105" s="270"/>
      <c r="AM105" s="270"/>
      <c r="AN105" s="270"/>
      <c r="AO105" s="270"/>
      <c r="AP105" s="105"/>
      <c r="AQ105" s="310"/>
      <c r="AR105" s="443"/>
      <c r="AS105" s="443"/>
      <c r="AT105" s="443"/>
      <c r="AU105" s="443"/>
      <c r="AV105" s="443"/>
      <c r="AW105" s="443"/>
      <c r="AX105" s="443"/>
      <c r="AY105" s="82"/>
      <c r="BA105" s="270"/>
      <c r="BB105" s="270"/>
      <c r="BC105" s="270"/>
      <c r="BD105" s="270"/>
      <c r="BE105" s="270"/>
      <c r="BF105" s="270"/>
      <c r="BG105" s="270"/>
      <c r="BH105" s="107"/>
      <c r="BJ105" s="106"/>
      <c r="BK105" s="106"/>
      <c r="BL105" s="106"/>
      <c r="BM105" s="106"/>
      <c r="BN105" s="106"/>
      <c r="BO105" s="106"/>
      <c r="BP105" s="106"/>
      <c r="BQ105" s="106"/>
      <c r="BR105" s="106"/>
      <c r="BS105" s="106"/>
      <c r="BV105" s="223"/>
      <c r="BW105" s="223"/>
      <c r="BX105" s="223"/>
      <c r="BY105" s="223"/>
      <c r="BZ105" s="223"/>
      <c r="CA105" s="223"/>
      <c r="CB105" s="223"/>
      <c r="CC105" s="223"/>
      <c r="CD105" s="223"/>
      <c r="CE105" s="223"/>
    </row>
    <row r="106" spans="2:83" ht="35.25" customHeight="1" x14ac:dyDescent="0.25">
      <c r="B106" s="146"/>
      <c r="C106" s="416" t="s">
        <v>48</v>
      </c>
      <c r="D106" s="417"/>
      <c r="E106" s="188">
        <v>1</v>
      </c>
      <c r="F106" s="188">
        <v>0</v>
      </c>
      <c r="G106" s="188"/>
      <c r="H106" s="188"/>
      <c r="I106" s="188"/>
      <c r="J106" s="188"/>
      <c r="K106" s="188"/>
      <c r="L106" s="188"/>
      <c r="M106" s="188"/>
      <c r="N106" s="189">
        <f>IF(COUNT(E106:M106),SUM(E106:M106),"")</f>
        <v>1</v>
      </c>
      <c r="O106" s="226" t="str">
        <f>IF(P106=1, "&lt;===", "")</f>
        <v/>
      </c>
      <c r="P106" s="227" t="str">
        <f>IF(OR(AND(E104&lt;&gt;"",E106="",D349&lt;&gt;""),AND(F104&lt;&gt;"",F106="",D349&lt;&gt;""),AND(G104&lt;&gt;"",G106="",D349&lt;&gt;""),AND(H104&lt;&gt;"",H106="",D349&lt;&gt;""),AND(I104&lt;&gt;"",I106="",D349&lt;&gt;""),AND(J104&lt;&gt;"",J106="",D349&lt;&gt;""),AND(K104&lt;&gt;"",K106="",D349&lt;&gt;""),AND(L104&lt;&gt;"",L106="",D349&lt;&gt;""),AND(M104&lt;&gt;"",M106="",D349&lt;&gt;"")), 1, "")</f>
        <v/>
      </c>
      <c r="Q106" s="261"/>
      <c r="R106" s="261"/>
      <c r="S106" s="261"/>
      <c r="T106" s="261"/>
      <c r="U106" s="261"/>
      <c r="V106" s="261"/>
      <c r="W106" s="261"/>
      <c r="X106" s="105"/>
      <c r="Y106" s="310"/>
      <c r="Z106" s="443"/>
      <c r="AA106" s="443"/>
      <c r="AB106" s="443"/>
      <c r="AC106" s="443"/>
      <c r="AD106" s="443"/>
      <c r="AE106" s="443"/>
      <c r="AF106" s="443"/>
      <c r="AG106" s="105"/>
      <c r="AH106" s="310"/>
      <c r="AI106" s="270"/>
      <c r="AJ106" s="270"/>
      <c r="AK106" s="270"/>
      <c r="AL106" s="270"/>
      <c r="AM106" s="270"/>
      <c r="AN106" s="270"/>
      <c r="AO106" s="270"/>
      <c r="AP106" s="105"/>
      <c r="AQ106" s="310"/>
      <c r="AR106" s="443"/>
      <c r="AS106" s="443"/>
      <c r="AT106" s="443"/>
      <c r="AU106" s="443"/>
      <c r="AV106" s="443"/>
      <c r="AW106" s="443"/>
      <c r="AX106" s="443"/>
      <c r="AY106" s="82"/>
      <c r="BA106" s="270"/>
      <c r="BB106" s="270"/>
      <c r="BC106" s="270"/>
      <c r="BD106" s="270"/>
      <c r="BE106" s="270"/>
      <c r="BF106" s="270"/>
      <c r="BG106" s="270"/>
      <c r="BH106" s="107"/>
      <c r="BJ106" s="106"/>
      <c r="BK106" s="106"/>
      <c r="BL106" s="106"/>
      <c r="BM106" s="106"/>
      <c r="BN106" s="106"/>
      <c r="BO106" s="106"/>
      <c r="BP106" s="106"/>
      <c r="BQ106" s="106"/>
      <c r="BR106" s="106"/>
      <c r="BS106" s="106"/>
      <c r="BV106" s="223"/>
      <c r="BW106" s="223"/>
      <c r="BX106" s="223"/>
      <c r="BY106" s="223"/>
      <c r="BZ106" s="223"/>
      <c r="CA106" s="223"/>
      <c r="CB106" s="223"/>
      <c r="CC106" s="223"/>
      <c r="CD106" s="223"/>
      <c r="CE106" s="223"/>
    </row>
    <row r="107" spans="2:83" ht="24.75" customHeight="1" x14ac:dyDescent="0.25">
      <c r="B107" s="293" t="str">
        <f>"Total Positive Placement in " &amp;D4</f>
        <v>Total Positive Placement in 2017</v>
      </c>
      <c r="C107" s="294"/>
      <c r="D107" s="295"/>
      <c r="E107" s="72">
        <f>IF(OR(E105="",E106=""),"",(SUM(E105,E106)))</f>
        <v>14</v>
      </c>
      <c r="F107" s="72">
        <f t="shared" ref="F107:M107" si="14">IF(OR(F105="",F106=""),"",(SUM(F105,F106)))</f>
        <v>19</v>
      </c>
      <c r="G107" s="72" t="str">
        <f t="shared" si="14"/>
        <v/>
      </c>
      <c r="H107" s="72" t="str">
        <f t="shared" si="14"/>
        <v/>
      </c>
      <c r="I107" s="72" t="str">
        <f t="shared" si="14"/>
        <v/>
      </c>
      <c r="J107" s="72" t="str">
        <f t="shared" si="14"/>
        <v/>
      </c>
      <c r="K107" s="72" t="str">
        <f t="shared" si="14"/>
        <v/>
      </c>
      <c r="L107" s="72" t="str">
        <f t="shared" si="14"/>
        <v/>
      </c>
      <c r="M107" s="72" t="str">
        <f t="shared" si="14"/>
        <v/>
      </c>
      <c r="N107" s="67">
        <f>IF(COUNT(N105:N106),SUM(N105,N106),"")</f>
        <v>33</v>
      </c>
      <c r="P107" s="227" t="str">
        <f>IF(OR(P105&lt;&gt;"",P106&lt;&gt;""), 1, "")</f>
        <v/>
      </c>
      <c r="Q107" s="261"/>
      <c r="R107" s="261"/>
      <c r="S107" s="261"/>
      <c r="T107" s="261"/>
      <c r="U107" s="261"/>
      <c r="V107" s="261"/>
      <c r="W107" s="261"/>
      <c r="Z107" s="443"/>
      <c r="AA107" s="443"/>
      <c r="AB107" s="443"/>
      <c r="AC107" s="443"/>
      <c r="AD107" s="443"/>
      <c r="AE107" s="443"/>
      <c r="AF107" s="443"/>
      <c r="AG107" s="6"/>
      <c r="AI107" s="270"/>
      <c r="AJ107" s="270"/>
      <c r="AK107" s="270"/>
      <c r="AL107" s="270"/>
      <c r="AM107" s="270"/>
      <c r="AN107" s="270"/>
      <c r="AO107" s="270"/>
      <c r="AR107" s="443"/>
      <c r="AS107" s="443"/>
      <c r="AT107" s="443"/>
      <c r="AU107" s="443"/>
      <c r="AV107" s="443"/>
      <c r="AW107" s="443"/>
      <c r="AX107" s="443"/>
      <c r="BA107" s="270"/>
      <c r="BB107" s="270"/>
      <c r="BC107" s="270"/>
      <c r="BD107" s="270"/>
      <c r="BE107" s="270"/>
      <c r="BF107" s="270"/>
      <c r="BG107" s="270"/>
      <c r="BH107" s="107"/>
      <c r="BJ107" s="106"/>
      <c r="BK107" s="106"/>
      <c r="BL107" s="106"/>
      <c r="BM107" s="106"/>
      <c r="BN107" s="106"/>
      <c r="BO107" s="106"/>
      <c r="BP107" s="106"/>
      <c r="BQ107" s="106"/>
      <c r="BR107" s="106"/>
      <c r="BS107" s="106"/>
    </row>
    <row r="108" spans="2:83" ht="45.75" customHeight="1" x14ac:dyDescent="0.25">
      <c r="B108" s="305" t="s">
        <v>35</v>
      </c>
      <c r="C108" s="306"/>
      <c r="D108" s="307"/>
      <c r="E108" s="208">
        <f>IFERROR(E107/E104,"")</f>
        <v>0.93333333333333335</v>
      </c>
      <c r="F108" s="208">
        <f>IFERROR(F107/F104,"")</f>
        <v>1</v>
      </c>
      <c r="G108" s="208" t="str">
        <f t="shared" ref="G108:M108" si="15">IFERROR(G107/G104,"")</f>
        <v/>
      </c>
      <c r="H108" s="208" t="str">
        <f t="shared" si="15"/>
        <v/>
      </c>
      <c r="I108" s="208" t="str">
        <f t="shared" si="15"/>
        <v/>
      </c>
      <c r="J108" s="208" t="str">
        <f t="shared" si="15"/>
        <v/>
      </c>
      <c r="K108" s="208" t="str">
        <f t="shared" si="15"/>
        <v/>
      </c>
      <c r="L108" s="208" t="str">
        <f t="shared" si="15"/>
        <v/>
      </c>
      <c r="M108" s="208" t="str">
        <f t="shared" si="15"/>
        <v/>
      </c>
      <c r="N108" s="209">
        <f>IFERROR(AVERAGE(E108:M108),0)</f>
        <v>0.96666666666666667</v>
      </c>
      <c r="O108" s="247" t="str">
        <f>IF(P107=1, "&lt;===", "")</f>
        <v/>
      </c>
      <c r="P108" s="234" t="str">
        <f>IF(P97&lt;&gt;"","2)","")</f>
        <v/>
      </c>
      <c r="Q108" s="341" t="str">
        <f>IF(P97&lt;&gt;"","How do you track graduate job placement?","")</f>
        <v/>
      </c>
      <c r="R108" s="341"/>
      <c r="S108" s="341"/>
      <c r="T108" s="341"/>
      <c r="U108" s="341"/>
      <c r="V108" s="341"/>
      <c r="W108" s="341"/>
      <c r="Z108" s="443"/>
      <c r="AA108" s="443"/>
      <c r="AB108" s="443"/>
      <c r="AC108" s="443"/>
      <c r="AD108" s="443"/>
      <c r="AE108" s="443"/>
      <c r="AF108" s="443"/>
      <c r="AG108" s="6"/>
      <c r="AI108" s="270"/>
      <c r="AJ108" s="270"/>
      <c r="AK108" s="270"/>
      <c r="AL108" s="270"/>
      <c r="AM108" s="270"/>
      <c r="AN108" s="270"/>
      <c r="AO108" s="270"/>
      <c r="AR108" s="443"/>
      <c r="AS108" s="443"/>
      <c r="AT108" s="443"/>
      <c r="AU108" s="443"/>
      <c r="AV108" s="443"/>
      <c r="AW108" s="443"/>
      <c r="AX108" s="443"/>
      <c r="BA108" s="270"/>
      <c r="BB108" s="270"/>
      <c r="BC108" s="270"/>
      <c r="BD108" s="270"/>
      <c r="BE108" s="270"/>
      <c r="BF108" s="270"/>
      <c r="BG108" s="270"/>
      <c r="BH108" s="107"/>
      <c r="BJ108" s="106"/>
      <c r="BK108" s="106"/>
      <c r="BL108" s="106"/>
      <c r="BM108" s="106"/>
      <c r="BN108" s="106"/>
      <c r="BO108" s="106"/>
      <c r="BP108" s="106"/>
      <c r="BQ108" s="106"/>
      <c r="BR108" s="106"/>
      <c r="BS108" s="106"/>
      <c r="BU108" s="10"/>
      <c r="BV108" s="341"/>
      <c r="BW108" s="341"/>
      <c r="BX108" s="341"/>
      <c r="BY108" s="341"/>
      <c r="BZ108" s="341"/>
      <c r="CA108" s="341"/>
      <c r="CB108" s="341"/>
      <c r="CC108" s="341"/>
      <c r="CD108" s="341"/>
      <c r="CE108" s="341"/>
    </row>
    <row r="109" spans="2:83" ht="51.75" customHeight="1" x14ac:dyDescent="0.25">
      <c r="B109" s="300" t="str">
        <f>IF(AND(N107&lt;&gt;"",N108&lt;0.7,N105&lt;&gt;"",N106&lt;&gt;"",B110=""),"The outcome threshold of 70% has not been met.  
Please complete the analysis and action plan questions to the right ==&gt;.",IF(AND(N108&gt;=0.7,N108&lt;=100%,N105&lt;&gt;"",N106&lt;&gt;"",B110=""),"The outcome threshold of 70% has been met.  
Please complete the next table below.",""))</f>
        <v>The outcome threshold of 70% has been met.  
Please complete the next table below.</v>
      </c>
      <c r="C109" s="301"/>
      <c r="D109" s="301"/>
      <c r="E109" s="301"/>
      <c r="F109" s="301"/>
      <c r="G109" s="301"/>
      <c r="H109" s="301"/>
      <c r="I109" s="301"/>
      <c r="J109" s="301"/>
      <c r="K109" s="301"/>
      <c r="L109" s="301"/>
      <c r="M109" s="301"/>
      <c r="N109" s="302"/>
      <c r="Q109" s="445"/>
      <c r="R109" s="445"/>
      <c r="S109" s="445"/>
      <c r="T109" s="445"/>
      <c r="U109" s="445"/>
      <c r="V109" s="445"/>
      <c r="W109" s="445"/>
      <c r="X109" s="105"/>
      <c r="Y109" s="85"/>
      <c r="Z109" s="256" t="str">
        <f>IF(Z99="Yes","List all of the methods utilized by the program to assist in placing the graduates:","")</f>
        <v/>
      </c>
      <c r="AA109" s="256"/>
      <c r="AB109" s="256"/>
      <c r="AC109" s="256"/>
      <c r="AD109" s="256"/>
      <c r="AE109" s="256"/>
      <c r="AF109" s="256"/>
      <c r="AG109" s="105"/>
      <c r="AI109" s="270"/>
      <c r="AJ109" s="270"/>
      <c r="AK109" s="270"/>
      <c r="AL109" s="270"/>
      <c r="AM109" s="270"/>
      <c r="AN109" s="270"/>
      <c r="AO109" s="270"/>
      <c r="AP109" s="105"/>
      <c r="AR109" s="443"/>
      <c r="AS109" s="443"/>
      <c r="AT109" s="443"/>
      <c r="AU109" s="443"/>
      <c r="AV109" s="443"/>
      <c r="AW109" s="443"/>
      <c r="AX109" s="443"/>
      <c r="AY109" s="105"/>
      <c r="BA109" s="270"/>
      <c r="BB109" s="270"/>
      <c r="BC109" s="270"/>
      <c r="BD109" s="270"/>
      <c r="BE109" s="270"/>
      <c r="BF109" s="270"/>
      <c r="BG109" s="270"/>
      <c r="BH109" s="107"/>
      <c r="BJ109" s="106"/>
      <c r="BK109" s="106"/>
      <c r="BL109" s="106"/>
      <c r="BM109" s="106"/>
      <c r="BN109" s="106"/>
      <c r="BO109" s="106"/>
      <c r="BP109" s="106"/>
      <c r="BQ109" s="106"/>
      <c r="BR109" s="106"/>
      <c r="BS109" s="106"/>
      <c r="BV109" s="106"/>
      <c r="BW109" s="106"/>
      <c r="BX109" s="106"/>
      <c r="BY109" s="106"/>
      <c r="BZ109" s="106"/>
      <c r="CA109" s="106"/>
      <c r="CB109" s="106"/>
      <c r="CC109" s="106"/>
      <c r="CD109" s="106"/>
      <c r="CE109" s="106"/>
    </row>
    <row r="110" spans="2:83" ht="52.5" customHeight="1" x14ac:dyDescent="0.25">
      <c r="B110" s="304" t="str">
        <f>IF(OR(AND(E108&gt;100%,E107&lt;&gt;""),AND(F108&gt;100%,F107&lt;&gt;""),AND(G108&gt;100%,G107&lt;&gt;""),AND(H108&gt;100%,H107&lt;&gt;""),AND(I108&gt;100%,I107&lt;&gt;""),AND(J108&gt;100%,J107&lt;&gt;""),AND(K108&gt;100%,K107&lt;&gt;""),AND(L108&gt;100%,L107&lt;&gt;""),AND(M108&gt;100%,M107&lt;&gt;""),AND(N108&gt;100%,N107&lt;&gt;"")),"Error has occurred; The pass rate success percentage cannot be more than 100%","")</f>
        <v/>
      </c>
      <c r="C110" s="304"/>
      <c r="D110" s="304"/>
      <c r="E110" s="304"/>
      <c r="F110" s="304"/>
      <c r="G110" s="304"/>
      <c r="H110" s="304"/>
      <c r="I110" s="304"/>
      <c r="J110" s="304"/>
      <c r="K110" s="304"/>
      <c r="L110" s="304"/>
      <c r="M110" s="304"/>
      <c r="N110" s="304"/>
      <c r="Q110" s="445"/>
      <c r="R110" s="445"/>
      <c r="S110" s="445"/>
      <c r="T110" s="445"/>
      <c r="U110" s="445"/>
      <c r="V110" s="445"/>
      <c r="W110" s="445"/>
      <c r="X110" s="107"/>
      <c r="Z110" s="270"/>
      <c r="AA110" s="270"/>
      <c r="AB110" s="270"/>
      <c r="AC110" s="270"/>
      <c r="AD110" s="270"/>
      <c r="AE110" s="270"/>
      <c r="AF110" s="270"/>
      <c r="AG110" s="107"/>
      <c r="AI110" s="270"/>
      <c r="AJ110" s="270"/>
      <c r="AK110" s="270"/>
      <c r="AL110" s="270"/>
      <c r="AM110" s="270"/>
      <c r="AN110" s="270"/>
      <c r="AO110" s="270"/>
      <c r="AP110" s="106"/>
      <c r="AR110" s="443"/>
      <c r="AS110" s="443"/>
      <c r="AT110" s="443"/>
      <c r="AU110" s="443"/>
      <c r="AV110" s="443"/>
      <c r="AW110" s="443"/>
      <c r="AX110" s="443"/>
      <c r="AY110" s="106"/>
      <c r="BA110" s="270"/>
      <c r="BB110" s="270"/>
      <c r="BC110" s="270"/>
      <c r="BD110" s="270"/>
      <c r="BE110" s="270"/>
      <c r="BF110" s="270"/>
      <c r="BG110" s="270"/>
      <c r="BH110" s="107"/>
      <c r="BI110" s="85"/>
      <c r="BJ110" s="106"/>
      <c r="BK110" s="106"/>
      <c r="BL110" s="106"/>
      <c r="BM110" s="106"/>
      <c r="BN110" s="106"/>
      <c r="BO110" s="106"/>
      <c r="BP110" s="106"/>
      <c r="BQ110" s="106"/>
      <c r="BR110" s="106"/>
      <c r="BS110" s="106"/>
      <c r="BV110" s="106"/>
      <c r="BW110" s="106"/>
      <c r="BX110" s="106"/>
      <c r="BY110" s="106"/>
      <c r="BZ110" s="106"/>
      <c r="CA110" s="106"/>
      <c r="CB110" s="106"/>
      <c r="CC110" s="106"/>
      <c r="CD110" s="106"/>
      <c r="CE110" s="106"/>
    </row>
    <row r="111" spans="2:83" x14ac:dyDescent="0.25">
      <c r="Q111" s="445"/>
      <c r="R111" s="445"/>
      <c r="S111" s="445"/>
      <c r="T111" s="445"/>
      <c r="U111" s="445"/>
      <c r="V111" s="445"/>
      <c r="W111" s="445"/>
      <c r="X111" s="107"/>
      <c r="Z111" s="270"/>
      <c r="AA111" s="270"/>
      <c r="AB111" s="270"/>
      <c r="AC111" s="270"/>
      <c r="AD111" s="270"/>
      <c r="AE111" s="270"/>
      <c r="AF111" s="270"/>
      <c r="AG111" s="107"/>
      <c r="AI111" s="270"/>
      <c r="AJ111" s="270"/>
      <c r="AK111" s="270"/>
      <c r="AL111" s="270"/>
      <c r="AM111" s="270"/>
      <c r="AN111" s="270"/>
      <c r="AO111" s="270"/>
      <c r="AP111" s="106"/>
      <c r="AR111" s="443"/>
      <c r="AS111" s="443"/>
      <c r="AT111" s="443"/>
      <c r="AU111" s="443"/>
      <c r="AV111" s="443"/>
      <c r="AW111" s="443"/>
      <c r="AX111" s="443"/>
      <c r="AY111" s="106"/>
      <c r="BA111" s="270"/>
      <c r="BB111" s="270"/>
      <c r="BC111" s="270"/>
      <c r="BD111" s="270"/>
      <c r="BE111" s="270"/>
      <c r="BF111" s="270"/>
      <c r="BG111" s="270"/>
      <c r="BH111" s="107"/>
      <c r="BJ111" s="106"/>
      <c r="BK111" s="106"/>
      <c r="BL111" s="106"/>
      <c r="BM111" s="106"/>
      <c r="BN111" s="106"/>
      <c r="BO111" s="106"/>
      <c r="BP111" s="106"/>
      <c r="BQ111" s="106"/>
      <c r="BR111" s="106"/>
      <c r="BS111" s="106"/>
      <c r="BV111" s="106"/>
      <c r="BW111" s="106"/>
      <c r="BX111" s="106"/>
      <c r="BY111" s="106"/>
      <c r="BZ111" s="106"/>
      <c r="CA111" s="106"/>
      <c r="CB111" s="106"/>
      <c r="CC111" s="106"/>
      <c r="CD111" s="106"/>
      <c r="CE111" s="106"/>
    </row>
    <row r="112" spans="2:83" ht="101.25" customHeight="1" x14ac:dyDescent="0.25">
      <c r="B112" s="318" t="s">
        <v>38</v>
      </c>
      <c r="C112" s="319"/>
      <c r="D112" s="319"/>
      <c r="E112" s="319"/>
      <c r="F112" s="319"/>
      <c r="G112" s="319"/>
      <c r="H112" s="319"/>
      <c r="I112" s="319"/>
      <c r="J112" s="319"/>
      <c r="K112" s="319"/>
      <c r="L112" s="319"/>
      <c r="M112" s="319"/>
      <c r="N112" s="320"/>
      <c r="P112" s="238"/>
      <c r="Q112" s="445"/>
      <c r="R112" s="445"/>
      <c r="S112" s="445"/>
      <c r="T112" s="445"/>
      <c r="U112" s="445"/>
      <c r="V112" s="445"/>
      <c r="W112" s="445"/>
      <c r="X112" s="107"/>
      <c r="Z112" s="270"/>
      <c r="AA112" s="270"/>
      <c r="AB112" s="270"/>
      <c r="AC112" s="270"/>
      <c r="AD112" s="270"/>
      <c r="AE112" s="270"/>
      <c r="AF112" s="270"/>
      <c r="AG112" s="107"/>
      <c r="AI112" s="270"/>
      <c r="AJ112" s="270"/>
      <c r="AK112" s="270"/>
      <c r="AL112" s="270"/>
      <c r="AM112" s="270"/>
      <c r="AN112" s="270"/>
      <c r="AO112" s="270"/>
      <c r="AP112" s="106"/>
      <c r="AR112" s="443"/>
      <c r="AS112" s="443"/>
      <c r="AT112" s="443"/>
      <c r="AU112" s="443"/>
      <c r="AV112" s="443"/>
      <c r="AW112" s="443"/>
      <c r="AX112" s="443"/>
      <c r="AY112" s="106"/>
      <c r="BA112" s="270"/>
      <c r="BB112" s="270"/>
      <c r="BC112" s="270"/>
      <c r="BD112" s="270"/>
      <c r="BE112" s="270"/>
      <c r="BF112" s="270"/>
      <c r="BG112" s="270"/>
      <c r="BH112" s="107"/>
      <c r="BJ112" s="106"/>
      <c r="BK112" s="106"/>
      <c r="BL112" s="106"/>
      <c r="BM112" s="106"/>
      <c r="BN112" s="106"/>
      <c r="BO112" s="106"/>
      <c r="BP112" s="106"/>
      <c r="BQ112" s="106"/>
      <c r="BR112" s="106"/>
      <c r="BS112" s="106"/>
      <c r="BV112" s="106"/>
      <c r="BW112" s="106"/>
      <c r="BX112" s="106"/>
      <c r="BY112" s="106"/>
      <c r="BZ112" s="106"/>
      <c r="CA112" s="106"/>
      <c r="CB112" s="106"/>
      <c r="CC112" s="106"/>
      <c r="CD112" s="106"/>
      <c r="CE112" s="106"/>
    </row>
    <row r="113" spans="2:68" x14ac:dyDescent="0.25">
      <c r="B113" s="278"/>
      <c r="C113" s="278"/>
      <c r="Q113" s="445"/>
      <c r="R113" s="445"/>
      <c r="S113" s="445"/>
      <c r="T113" s="445"/>
      <c r="U113" s="445"/>
      <c r="V113" s="445"/>
      <c r="W113" s="445"/>
      <c r="Z113" s="270"/>
      <c r="AA113" s="270"/>
      <c r="AB113" s="270"/>
      <c r="AC113" s="270"/>
      <c r="AD113" s="270"/>
      <c r="AE113" s="270"/>
      <c r="AF113" s="270"/>
      <c r="AI113" s="270"/>
      <c r="AJ113" s="270"/>
      <c r="AK113" s="270"/>
      <c r="AL113" s="270"/>
      <c r="AM113" s="270"/>
      <c r="AN113" s="270"/>
      <c r="AO113" s="270"/>
      <c r="AR113" s="443"/>
      <c r="AS113" s="443"/>
      <c r="AT113" s="443"/>
      <c r="AU113" s="443"/>
      <c r="AV113" s="443"/>
      <c r="AW113" s="443"/>
      <c r="AX113" s="443"/>
      <c r="BA113" s="270"/>
      <c r="BB113" s="270"/>
      <c r="BC113" s="270"/>
      <c r="BD113" s="270"/>
      <c r="BE113" s="270"/>
      <c r="BF113" s="270"/>
      <c r="BG113" s="270"/>
      <c r="BJ113" s="106"/>
      <c r="BK113" s="106"/>
      <c r="BL113" s="106"/>
      <c r="BM113" s="106"/>
      <c r="BN113" s="106"/>
      <c r="BO113" s="106"/>
      <c r="BP113" s="106"/>
    </row>
    <row r="116" spans="2:68" x14ac:dyDescent="0.25">
      <c r="B116" s="19"/>
      <c r="C116" s="20">
        <f>$D$14</f>
        <v>600837</v>
      </c>
      <c r="D116" s="271" t="str">
        <f>$D$16</f>
        <v>Milwaukee Area Technical College</v>
      </c>
      <c r="E116" s="271"/>
      <c r="F116" s="271"/>
      <c r="G116" s="271"/>
      <c r="H116" s="271"/>
      <c r="I116" s="271"/>
      <c r="J116" s="271"/>
      <c r="K116" s="271"/>
      <c r="P116" s="253" t="str">
        <f>IF(P118&lt;&gt;"",$D$14,"")</f>
        <v/>
      </c>
      <c r="Q116" s="253"/>
      <c r="R116" s="280" t="str">
        <f>IF(P118&lt;&gt;"",$D$16,"")</f>
        <v/>
      </c>
      <c r="S116" s="280"/>
      <c r="T116" s="280"/>
      <c r="U116" s="280"/>
      <c r="V116" s="280"/>
      <c r="W116" s="280"/>
      <c r="X116" s="280"/>
      <c r="Y116" s="280"/>
      <c r="Z116" s="280"/>
      <c r="AA116" s="280"/>
    </row>
    <row r="117" spans="2:68" x14ac:dyDescent="0.25">
      <c r="B117" s="278"/>
      <c r="C117" s="278"/>
      <c r="R117" s="280" t="str">
        <f>IF(P118&lt;&gt;"","Graduate Surveys","")</f>
        <v/>
      </c>
      <c r="S117" s="280"/>
      <c r="T117" s="280"/>
      <c r="U117" s="280"/>
      <c r="V117" s="280"/>
    </row>
    <row r="118" spans="2:68" ht="23.25" customHeight="1" x14ac:dyDescent="0.25">
      <c r="B118" s="35" t="s">
        <v>20</v>
      </c>
      <c r="C118" s="36"/>
      <c r="D118" s="36"/>
      <c r="E118" s="36"/>
      <c r="F118" s="36"/>
      <c r="G118" s="36"/>
      <c r="H118" s="36"/>
      <c r="I118" s="36"/>
      <c r="J118" s="36"/>
      <c r="K118" s="36"/>
      <c r="L118" s="36"/>
      <c r="M118" s="36"/>
      <c r="N118" s="37"/>
      <c r="P118" s="239" t="str">
        <f>IF(AND(B146="Total Number of Surveys Sent Does Not Represent 100% of the Total Reported Graduates. Please complete the analysis and action plan boxes to the right ==&gt;.",B147=""),"Provide a detailed ANALYSIS for Graduate Surveys in the box below","")</f>
        <v/>
      </c>
      <c r="Z118" s="86" t="str">
        <f>IF(P118&lt;&gt;"","Provide a detailed ACTION PLAN for Graduate Surveys in the box below","")</f>
        <v/>
      </c>
    </row>
    <row r="119" spans="2:68" ht="43.5" customHeight="1" x14ac:dyDescent="0.25">
      <c r="B119" s="272" t="s">
        <v>62</v>
      </c>
      <c r="C119" s="273"/>
      <c r="D119" s="273"/>
      <c r="E119" s="273"/>
      <c r="F119" s="273"/>
      <c r="G119" s="273"/>
      <c r="H119" s="273"/>
      <c r="I119" s="273"/>
      <c r="J119" s="273"/>
      <c r="K119" s="273"/>
      <c r="L119" s="273"/>
      <c r="M119" s="273"/>
      <c r="N119" s="274"/>
      <c r="P119" s="270"/>
      <c r="Q119" s="270"/>
      <c r="R119" s="270"/>
      <c r="S119" s="270"/>
      <c r="T119" s="270"/>
      <c r="U119" s="270"/>
      <c r="V119" s="270"/>
      <c r="W119" s="270"/>
      <c r="X119" s="6"/>
      <c r="Z119" s="279"/>
      <c r="AA119" s="279"/>
      <c r="AB119" s="279"/>
      <c r="AC119" s="279"/>
      <c r="AD119" s="279"/>
      <c r="AE119" s="279"/>
      <c r="AF119" s="279"/>
      <c r="AG119" s="279"/>
    </row>
    <row r="120" spans="2:68" ht="41.25" customHeight="1" x14ac:dyDescent="0.25">
      <c r="B120" s="275"/>
      <c r="C120" s="276"/>
      <c r="D120" s="277"/>
      <c r="E120" s="38" t="str">
        <f>IF(AND($G$44&gt;=1,$G$44&lt;&gt;"Please Select"),"Cohort 
#1:","")</f>
        <v>Cohort 
#1:</v>
      </c>
      <c r="F120" s="38" t="str">
        <f>IF(AND($G$44&gt;=2,$G$44&lt;&gt;"Please Select"),"Cohort 
#2:", "")</f>
        <v>Cohort 
#2:</v>
      </c>
      <c r="G120" s="38" t="str">
        <f>IF(AND($G$44&gt;=3, $G$44&lt;&gt;"Please Select"),"Cohort 
#3:","")</f>
        <v/>
      </c>
      <c r="H120" s="38" t="str">
        <f>IF(AND($G$44&gt;=4,$G$44&lt;&gt;"Please Select"), "Cohort 
#4:","")</f>
        <v/>
      </c>
      <c r="I120" s="38" t="str">
        <f>IF(AND($G$44&gt;=5,$G$44&lt;&gt;"Please Select"), "Cohort 
#5:","")</f>
        <v/>
      </c>
      <c r="J120" s="38" t="str">
        <f>IF(AND($G$44&gt;=6,$G$44&lt;&gt;"Please Select"), "Cohort 
#6:","")</f>
        <v/>
      </c>
      <c r="K120" s="38" t="str">
        <f>IF(AND($G$44&gt;=7, $G$44&lt;&gt;"Please Select"),"Cohort 
#7:","")</f>
        <v/>
      </c>
      <c r="L120" s="38" t="str">
        <f>IF(AND($G$44&gt;=8,$G$44&lt;&gt;"Please Select"), "Cohort 
#8:","")</f>
        <v/>
      </c>
      <c r="M120" s="38" t="str">
        <f>IF(AND($G$44&gt;=9,$G$44&lt;&gt;"Please Select"), "Cohort 
#9:","")</f>
        <v/>
      </c>
      <c r="N120" s="38" t="s">
        <v>19</v>
      </c>
      <c r="P120" s="270"/>
      <c r="Q120" s="270"/>
      <c r="R120" s="270"/>
      <c r="S120" s="270"/>
      <c r="T120" s="270"/>
      <c r="U120" s="270"/>
      <c r="V120" s="270"/>
      <c r="W120" s="270"/>
      <c r="X120" s="6"/>
      <c r="Z120" s="279"/>
      <c r="AA120" s="279"/>
      <c r="AB120" s="279"/>
      <c r="AC120" s="279"/>
      <c r="AD120" s="279"/>
      <c r="AE120" s="279"/>
      <c r="AF120" s="279"/>
      <c r="AG120" s="279"/>
    </row>
    <row r="121" spans="2:68" ht="18" customHeight="1" x14ac:dyDescent="0.25">
      <c r="B121" s="281" t="s">
        <v>16</v>
      </c>
      <c r="C121" s="282"/>
      <c r="D121" s="283"/>
      <c r="E121" s="28">
        <f>IF(ISBLANK(E50),"",E50)</f>
        <v>42611</v>
      </c>
      <c r="F121" s="28">
        <f t="shared" ref="F121:M121" si="16">IF(ISBLANK(F50),"",F50)</f>
        <v>42719</v>
      </c>
      <c r="G121" s="28" t="str">
        <f t="shared" si="16"/>
        <v/>
      </c>
      <c r="H121" s="28" t="str">
        <f t="shared" si="16"/>
        <v/>
      </c>
      <c r="I121" s="28" t="str">
        <f t="shared" si="16"/>
        <v/>
      </c>
      <c r="J121" s="28" t="str">
        <f t="shared" si="16"/>
        <v/>
      </c>
      <c r="K121" s="28" t="str">
        <f t="shared" si="16"/>
        <v/>
      </c>
      <c r="L121" s="28" t="str">
        <f t="shared" si="16"/>
        <v/>
      </c>
      <c r="M121" s="28" t="str">
        <f t="shared" si="16"/>
        <v/>
      </c>
      <c r="N121" s="26"/>
      <c r="P121" s="270"/>
      <c r="Q121" s="270"/>
      <c r="R121" s="270"/>
      <c r="S121" s="270"/>
      <c r="T121" s="270"/>
      <c r="U121" s="270"/>
      <c r="V121" s="270"/>
      <c r="W121" s="270"/>
      <c r="X121" s="6"/>
      <c r="Z121" s="279"/>
      <c r="AA121" s="279"/>
      <c r="AB121" s="279"/>
      <c r="AC121" s="279"/>
      <c r="AD121" s="279"/>
      <c r="AE121" s="279"/>
      <c r="AF121" s="279"/>
      <c r="AG121" s="279"/>
    </row>
    <row r="122" spans="2:68" ht="18" customHeight="1" x14ac:dyDescent="0.25">
      <c r="B122" s="284" t="s">
        <v>14</v>
      </c>
      <c r="C122" s="268"/>
      <c r="D122" s="75"/>
      <c r="E122" s="76">
        <f>IF(ISBLANK(E51),"",E51)</f>
        <v>42852</v>
      </c>
      <c r="F122" s="76">
        <f t="shared" ref="F122:M122" si="17">IF(ISBLANK(F51),"",F51)</f>
        <v>42916</v>
      </c>
      <c r="G122" s="76" t="str">
        <f t="shared" si="17"/>
        <v/>
      </c>
      <c r="H122" s="76" t="str">
        <f t="shared" si="17"/>
        <v/>
      </c>
      <c r="I122" s="76" t="str">
        <f t="shared" si="17"/>
        <v/>
      </c>
      <c r="J122" s="76" t="str">
        <f t="shared" si="17"/>
        <v/>
      </c>
      <c r="K122" s="76" t="str">
        <f t="shared" si="17"/>
        <v/>
      </c>
      <c r="L122" s="76" t="str">
        <f t="shared" si="17"/>
        <v/>
      </c>
      <c r="M122" s="76" t="str">
        <f t="shared" si="17"/>
        <v/>
      </c>
      <c r="N122" s="77"/>
      <c r="P122" s="270"/>
      <c r="Q122" s="270"/>
      <c r="R122" s="270"/>
      <c r="S122" s="270"/>
      <c r="T122" s="270"/>
      <c r="U122" s="270"/>
      <c r="V122" s="270"/>
      <c r="W122" s="270"/>
      <c r="X122" s="6"/>
      <c r="Z122" s="279"/>
      <c r="AA122" s="279"/>
      <c r="AB122" s="279"/>
      <c r="AC122" s="279"/>
      <c r="AD122" s="279"/>
      <c r="AE122" s="279"/>
      <c r="AF122" s="279"/>
      <c r="AG122" s="279"/>
    </row>
    <row r="123" spans="2:68" ht="18" customHeight="1" x14ac:dyDescent="0.25">
      <c r="B123" s="293" t="s">
        <v>17</v>
      </c>
      <c r="C123" s="294"/>
      <c r="D123" s="25"/>
      <c r="E123" s="216">
        <f>IF(ISBLANK(E64),"",E64)</f>
        <v>15</v>
      </c>
      <c r="F123" s="216">
        <f t="shared" ref="F123:N123" si="18">IF(ISBLANK(F64),"",F64)</f>
        <v>19</v>
      </c>
      <c r="G123" s="216" t="str">
        <f t="shared" si="18"/>
        <v/>
      </c>
      <c r="H123" s="216" t="str">
        <f t="shared" si="18"/>
        <v/>
      </c>
      <c r="I123" s="216" t="str">
        <f t="shared" si="18"/>
        <v/>
      </c>
      <c r="J123" s="216" t="str">
        <f t="shared" si="18"/>
        <v/>
      </c>
      <c r="K123" s="216" t="str">
        <f t="shared" si="18"/>
        <v/>
      </c>
      <c r="L123" s="216" t="str">
        <f t="shared" si="18"/>
        <v/>
      </c>
      <c r="M123" s="216" t="str">
        <f t="shared" si="18"/>
        <v/>
      </c>
      <c r="N123" s="32">
        <f t="shared" si="18"/>
        <v>34</v>
      </c>
      <c r="O123" s="227" t="str">
        <f>IF(OR(AND(E123&lt;&gt;"",E124="",D349&lt;&gt;""),AND(F123&lt;&gt;"",F124="",D349&lt;&gt;""),AND(G123&lt;&gt;"",G124="",D349&lt;&gt;""),AND(H123&lt;&gt;"",H124="",D349&lt;&gt;""),AND(I123&lt;&gt;"",I124="",D349&lt;&gt;""),AND(J123&lt;&gt;"",J124="",D349&lt;&gt;""),AND(K123&lt;&gt;"",K124="",D349&lt;&gt;""),AND(L123&lt;&gt;"",L124="",D349&lt;&gt;""),AND(M123&lt;&gt;"",M124="",D349&lt;&gt;"")), 1, "")</f>
        <v/>
      </c>
      <c r="P123" s="270"/>
      <c r="Q123" s="270"/>
      <c r="R123" s="270"/>
      <c r="S123" s="270"/>
      <c r="T123" s="270"/>
      <c r="U123" s="270"/>
      <c r="V123" s="270"/>
      <c r="W123" s="270"/>
      <c r="X123" s="6"/>
      <c r="Z123" s="279"/>
      <c r="AA123" s="279"/>
      <c r="AB123" s="279"/>
      <c r="AC123" s="279"/>
      <c r="AD123" s="279"/>
      <c r="AE123" s="279"/>
      <c r="AF123" s="279"/>
      <c r="AG123" s="279"/>
    </row>
    <row r="124" spans="2:68" ht="34.5" customHeight="1" x14ac:dyDescent="0.25">
      <c r="B124" s="397" t="s">
        <v>66</v>
      </c>
      <c r="C124" s="398"/>
      <c r="D124" s="399"/>
      <c r="E124" s="191">
        <v>15</v>
      </c>
      <c r="F124" s="191">
        <v>19</v>
      </c>
      <c r="G124" s="191"/>
      <c r="H124" s="191"/>
      <c r="I124" s="191"/>
      <c r="J124" s="191"/>
      <c r="K124" s="191"/>
      <c r="L124" s="191"/>
      <c r="M124" s="191"/>
      <c r="N124" s="78">
        <f>IF(COUNT(E124:M124),SUM(E124:M124),"")</f>
        <v>34</v>
      </c>
      <c r="O124" s="242" t="str">
        <f>IF(O123=1, "&lt;===", "")</f>
        <v/>
      </c>
      <c r="P124" s="270"/>
      <c r="Q124" s="270"/>
      <c r="R124" s="270"/>
      <c r="S124" s="270"/>
      <c r="T124" s="270"/>
      <c r="U124" s="270"/>
      <c r="V124" s="270"/>
      <c r="W124" s="270"/>
      <c r="X124" s="6"/>
      <c r="Z124" s="279"/>
      <c r="AA124" s="279"/>
      <c r="AB124" s="279"/>
      <c r="AC124" s="279"/>
      <c r="AD124" s="279"/>
      <c r="AE124" s="279"/>
      <c r="AF124" s="279"/>
      <c r="AG124" s="279"/>
    </row>
    <row r="125" spans="2:68" ht="34.5" hidden="1" customHeight="1" thickBot="1" x14ac:dyDescent="0.3">
      <c r="B125" s="401" t="s">
        <v>50</v>
      </c>
      <c r="C125" s="402"/>
      <c r="D125" s="403"/>
      <c r="E125" s="101"/>
      <c r="F125" s="101"/>
      <c r="G125" s="101"/>
      <c r="H125" s="101"/>
      <c r="I125" s="101"/>
      <c r="J125" s="101"/>
      <c r="K125" s="101"/>
      <c r="L125" s="101"/>
      <c r="M125" s="101"/>
      <c r="N125" s="102" t="str">
        <f>IF(COUNT(E125:M125),SUM(E125:M125),"")</f>
        <v/>
      </c>
    </row>
    <row r="126" spans="2:68" ht="18" hidden="1" customHeight="1" thickBot="1" x14ac:dyDescent="0.3">
      <c r="B126" s="408"/>
      <c r="C126" s="409"/>
      <c r="D126" s="410"/>
      <c r="E126" s="133"/>
      <c r="F126" s="133"/>
      <c r="G126" s="133"/>
      <c r="H126" s="133"/>
      <c r="I126" s="133"/>
      <c r="J126" s="133"/>
      <c r="K126" s="133"/>
      <c r="L126" s="133"/>
      <c r="M126" s="133"/>
      <c r="N126" s="133"/>
    </row>
    <row r="127" spans="2:68" ht="31.5" hidden="1" customHeight="1" x14ac:dyDescent="0.25">
      <c r="B127" s="267" t="s">
        <v>49</v>
      </c>
      <c r="C127" s="268"/>
      <c r="D127" s="268"/>
      <c r="E127" s="148"/>
      <c r="F127" s="148"/>
      <c r="G127" s="148"/>
      <c r="H127" s="148"/>
      <c r="I127" s="148"/>
      <c r="J127" s="148"/>
      <c r="K127" s="148"/>
      <c r="L127" s="148"/>
      <c r="M127" s="148"/>
      <c r="N127" s="163"/>
    </row>
    <row r="128" spans="2:68" ht="18" hidden="1" customHeight="1" x14ac:dyDescent="0.25">
      <c r="B128" s="41"/>
      <c r="C128" s="139" t="s">
        <v>51</v>
      </c>
      <c r="D128" s="56"/>
      <c r="E128" s="153"/>
      <c r="F128" s="153"/>
      <c r="G128" s="153"/>
      <c r="H128" s="153"/>
      <c r="I128" s="153"/>
      <c r="J128" s="153"/>
      <c r="K128" s="153"/>
      <c r="L128" s="153"/>
      <c r="M128" s="153"/>
      <c r="N128" s="154" t="str">
        <f>IF(COUNT(E128:M128),SUM(E128:M128),"")</f>
        <v/>
      </c>
    </row>
    <row r="129" spans="2:25" ht="18" hidden="1" customHeight="1" x14ac:dyDescent="0.25">
      <c r="B129" s="79"/>
      <c r="C129" s="147" t="s">
        <v>52</v>
      </c>
      <c r="D129" s="80"/>
      <c r="E129" s="151"/>
      <c r="F129" s="151"/>
      <c r="G129" s="151"/>
      <c r="H129" s="151"/>
      <c r="I129" s="151"/>
      <c r="J129" s="151"/>
      <c r="K129" s="151"/>
      <c r="L129" s="151"/>
      <c r="M129" s="151"/>
      <c r="N129" s="152" t="str">
        <f>IF(COUNT(E129:M129),SUM(E129:M129),"")</f>
        <v/>
      </c>
    </row>
    <row r="130" spans="2:25" ht="18" hidden="1" customHeight="1" x14ac:dyDescent="0.25">
      <c r="B130" s="41"/>
      <c r="C130" s="139" t="s">
        <v>53</v>
      </c>
      <c r="D130" s="56"/>
      <c r="E130" s="149"/>
      <c r="F130" s="149"/>
      <c r="G130" s="149"/>
      <c r="H130" s="149"/>
      <c r="I130" s="149"/>
      <c r="J130" s="149"/>
      <c r="K130" s="149"/>
      <c r="L130" s="149"/>
      <c r="M130" s="149"/>
      <c r="N130" s="150" t="str">
        <f>IF(COUNT(E130:M130),SUM(E130:M130),"")</f>
        <v/>
      </c>
      <c r="O130" s="55"/>
      <c r="P130" s="240"/>
      <c r="Q130" s="55"/>
      <c r="R130" s="55"/>
      <c r="S130" s="55"/>
      <c r="T130" s="55"/>
      <c r="U130" s="55"/>
    </row>
    <row r="131" spans="2:25" ht="18" hidden="1" customHeight="1" x14ac:dyDescent="0.25">
      <c r="B131" s="79"/>
      <c r="C131" s="147" t="s">
        <v>54</v>
      </c>
      <c r="D131" s="80"/>
      <c r="E131" s="151"/>
      <c r="F131" s="151"/>
      <c r="G131" s="151"/>
      <c r="H131" s="151"/>
      <c r="I131" s="151"/>
      <c r="J131" s="151"/>
      <c r="K131" s="151"/>
      <c r="L131" s="151"/>
      <c r="M131" s="151"/>
      <c r="N131" s="152" t="str">
        <f>IF(COUNT(E131:M131),SUM(E131:M131),"")</f>
        <v/>
      </c>
    </row>
    <row r="132" spans="2:25" ht="20.25" hidden="1" customHeight="1" x14ac:dyDescent="0.25">
      <c r="B132" s="293" t="s">
        <v>25</v>
      </c>
      <c r="C132" s="294"/>
      <c r="D132" s="295"/>
      <c r="E132" s="155" t="str">
        <f>IF(OR(E128="",E129="",E130="",E131=""),"",SUM(E128:E131))</f>
        <v/>
      </c>
      <c r="F132" s="155" t="str">
        <f t="shared" ref="F132:M132" si="19">IF(OR(F128="",F129="",F130="",F131=""),"",SUM(F128:F131))</f>
        <v/>
      </c>
      <c r="G132" s="155" t="str">
        <f t="shared" si="19"/>
        <v/>
      </c>
      <c r="H132" s="155" t="str">
        <f t="shared" si="19"/>
        <v/>
      </c>
      <c r="I132" s="155" t="str">
        <f t="shared" si="19"/>
        <v/>
      </c>
      <c r="J132" s="155" t="str">
        <f t="shared" si="19"/>
        <v/>
      </c>
      <c r="K132" s="155" t="str">
        <f t="shared" si="19"/>
        <v/>
      </c>
      <c r="L132" s="155" t="str">
        <f t="shared" si="19"/>
        <v/>
      </c>
      <c r="M132" s="155" t="str">
        <f t="shared" si="19"/>
        <v/>
      </c>
      <c r="N132" s="32" t="str">
        <f>IF(COUNT(N127:N131),SUM(N127:N131),"")</f>
        <v/>
      </c>
      <c r="O132" s="439" t="str">
        <f>IF(OR(AND(E125&lt;E132,E132&lt;&gt;""),AND(F125&lt;F132,F132&lt;&gt;""),AND(G125&lt;G132,G132&lt;&gt;""),AND(H125&lt;H132,H132&lt;&gt;""),AND(I125&lt;I132,I132&lt;&gt;""),AND(J125&lt;J132,J132&lt;&gt;""),AND(K125&lt;K132,K132&lt;&gt;""),AND(L125&lt;L132,L132&lt;&gt;""),AND(M125&lt;M132,M132&lt;&gt;"")),"The total number of cognitive responses can not be more than the total number of graduate surveys returned",IF(OR(AND(E125&gt;E132,E132&lt;&gt;""),AND(F125&gt;F132,F132&lt;&gt;""),AND(G125&gt;G132,G132&lt;&gt;""),AND(H125&gt;H132,H132&lt;&gt;""),AND(I125&gt;I132,I132&lt;&gt;""),AND(J125&gt;J132,J132&lt;&gt;""),AND(K125&gt;K132,K132&lt;&gt;""),AND(L125&gt;L132,L132&lt;&gt;""),AND(M125&lt;&gt;M132,M132&lt;&gt;"")),"The total number of cognitive responses does not match the total number of graduate surveys returned",IF(OR(AND(E125&lt;&gt;E132,E125&lt;&gt;"",E132=""),AND(F125&lt;&gt;F132,F125&lt;&gt;"",F132=""),AND(G125&lt;&gt;G132,G125&lt;&gt;"",G132=""),AND(H125&lt;&gt;H132,H125&lt;&gt;"",H132=""),AND(I125&lt;&gt;I132,I125&lt;&gt;"",I132=""),AND(J125&lt;&gt;J132,J125&lt;&gt;"",J132=""),AND(K125&lt;&gt;K132,K125&lt;&gt;"",K132=""),AND(L125&lt;&gt;L132,L125&lt;&gt;"",L132=""),AND(M125&lt;&gt;M132,M125&lt;&gt;"",M132="")),"The total number of cognitive responses must match the total number of graduate surveys returned","")))</f>
        <v/>
      </c>
      <c r="P132" s="440"/>
      <c r="Q132" s="440"/>
      <c r="R132" s="440"/>
      <c r="S132" s="440"/>
      <c r="T132" s="440"/>
      <c r="U132" s="440"/>
      <c r="V132" s="440"/>
      <c r="W132" s="440"/>
      <c r="X132" s="440"/>
      <c r="Y132" s="440"/>
    </row>
    <row r="133" spans="2:25" ht="31.5" hidden="1" customHeight="1" x14ac:dyDescent="0.25">
      <c r="B133" s="267" t="s">
        <v>55</v>
      </c>
      <c r="C133" s="268"/>
      <c r="D133" s="268"/>
      <c r="E133" s="148"/>
      <c r="F133" s="148"/>
      <c r="G133" s="148"/>
      <c r="H133" s="148"/>
      <c r="I133" s="148"/>
      <c r="J133" s="148"/>
      <c r="K133" s="148"/>
      <c r="L133" s="148"/>
      <c r="M133" s="148"/>
      <c r="N133" s="162"/>
    </row>
    <row r="134" spans="2:25" ht="18" hidden="1" customHeight="1" x14ac:dyDescent="0.25">
      <c r="B134" s="41"/>
      <c r="C134" s="139" t="s">
        <v>51</v>
      </c>
      <c r="D134" s="56"/>
      <c r="E134" s="153"/>
      <c r="F134" s="153"/>
      <c r="G134" s="153"/>
      <c r="H134" s="153"/>
      <c r="I134" s="153"/>
      <c r="J134" s="153"/>
      <c r="K134" s="153"/>
      <c r="L134" s="153"/>
      <c r="M134" s="153"/>
      <c r="N134" s="154" t="str">
        <f>IF(COUNT(E134:M134),SUM(E134:M134),"")</f>
        <v/>
      </c>
    </row>
    <row r="135" spans="2:25" ht="18" hidden="1" customHeight="1" x14ac:dyDescent="0.25">
      <c r="B135" s="79"/>
      <c r="C135" s="147" t="s">
        <v>52</v>
      </c>
      <c r="D135" s="80"/>
      <c r="E135" s="151"/>
      <c r="F135" s="151"/>
      <c r="G135" s="151"/>
      <c r="H135" s="151"/>
      <c r="I135" s="151"/>
      <c r="J135" s="151"/>
      <c r="K135" s="151"/>
      <c r="L135" s="151"/>
      <c r="M135" s="151"/>
      <c r="N135" s="152" t="str">
        <f>IF(COUNT(E135:M135),SUM(E135:M135),"")</f>
        <v/>
      </c>
    </row>
    <row r="136" spans="2:25" ht="18" hidden="1" customHeight="1" x14ac:dyDescent="0.25">
      <c r="B136" s="41"/>
      <c r="C136" s="139" t="s">
        <v>53</v>
      </c>
      <c r="D136" s="56"/>
      <c r="E136" s="149"/>
      <c r="F136" s="149"/>
      <c r="G136" s="149"/>
      <c r="H136" s="149"/>
      <c r="I136" s="149"/>
      <c r="J136" s="149"/>
      <c r="K136" s="149"/>
      <c r="L136" s="149"/>
      <c r="M136" s="149"/>
      <c r="N136" s="150" t="str">
        <f>IF(COUNT(E136:M136),SUM(E136:M136),"")</f>
        <v/>
      </c>
    </row>
    <row r="137" spans="2:25" ht="18" hidden="1" customHeight="1" x14ac:dyDescent="0.25">
      <c r="B137" s="79"/>
      <c r="C137" s="147" t="s">
        <v>54</v>
      </c>
      <c r="D137" s="80"/>
      <c r="E137" s="151"/>
      <c r="F137" s="151"/>
      <c r="G137" s="151"/>
      <c r="H137" s="151"/>
      <c r="I137" s="151"/>
      <c r="J137" s="151"/>
      <c r="K137" s="151"/>
      <c r="L137" s="151"/>
      <c r="M137" s="151"/>
      <c r="N137" s="152" t="str">
        <f>IF(COUNT(E137:M137),SUM(E137:M137),"")</f>
        <v/>
      </c>
    </row>
    <row r="138" spans="2:25" ht="18" hidden="1" customHeight="1" x14ac:dyDescent="0.25">
      <c r="B138" s="293" t="s">
        <v>26</v>
      </c>
      <c r="C138" s="294"/>
      <c r="D138" s="295"/>
      <c r="E138" s="155" t="str">
        <f>IF(OR(E134="",E135="",E136="",E137=""),"",SUM(E134:E137))</f>
        <v/>
      </c>
      <c r="F138" s="155" t="str">
        <f t="shared" ref="F138:M138" si="20">IF(OR(F134="",F135="",F136="",F137=""),"",SUM(F134:F137))</f>
        <v/>
      </c>
      <c r="G138" s="155" t="str">
        <f t="shared" si="20"/>
        <v/>
      </c>
      <c r="H138" s="155" t="str">
        <f t="shared" si="20"/>
        <v/>
      </c>
      <c r="I138" s="155" t="str">
        <f t="shared" si="20"/>
        <v/>
      </c>
      <c r="J138" s="155" t="str">
        <f t="shared" si="20"/>
        <v/>
      </c>
      <c r="K138" s="155" t="str">
        <f t="shared" si="20"/>
        <v/>
      </c>
      <c r="L138" s="155" t="str">
        <f t="shared" si="20"/>
        <v/>
      </c>
      <c r="M138" s="155" t="str">
        <f t="shared" si="20"/>
        <v/>
      </c>
      <c r="N138" s="32" t="str">
        <f>IF(COUNT(N134:N137),SUM(N134:N137),"")</f>
        <v/>
      </c>
      <c r="O138" s="439" t="str">
        <f>IF(OR(AND(E125&lt;E138,E138&lt;&gt;""),AND(F125&lt;F138,F138&lt;&gt;""),AND(G125&lt;G138,G138&lt;&gt;""),AND(H125&lt;H138,H138&lt;&gt;""),AND(I125&lt;I138,I138&lt;&gt;""),AND(J125&lt;J138,J138&lt;&gt;""),AND(K125&lt;K138,K138&lt;&gt;""),AND(L125&lt;L138,L138&lt;&gt;""),AND(M125&lt;M138,M138&lt;&gt;"")),"The total number of psychomotor responses can not be more than the total number of graduate surveys returned",IF(OR(AND(E125&gt;E138,E138&lt;&gt;""),AND(F125&gt;F138,F138&lt;&gt;""),AND(G125&gt;G138,G138&lt;&gt;""),AND(H125&gt;H138,H138&lt;&gt;""),AND(I125&gt;I138,I138&lt;&gt;""),AND(J125&gt;J138,J138&lt;&gt;""),AND(K125&gt;K138,K138&lt;&gt;""),AND(L125&gt;L138,L138&lt;&gt;""),AND(M125&lt;&gt;M138,M138&lt;&gt;"")),"The total number of psychomotor responses does not match the total number of graduate surveys returned",IF(OR(AND(E125&lt;&gt;E138,E125&lt;&gt;"",E138=""),AND(F125&lt;&gt;F138,F125&lt;&gt;"",F138=""),AND(G125&lt;&gt;G138,G125&lt;&gt;"",G138=""),AND(H125&lt;&gt;H138,H125&lt;&gt;"",H138=""),AND(I125&lt;&gt;I138,I125&lt;&gt;"",I138=""),AND(J125&lt;&gt;J138,J125&lt;&gt;"",J138=""),AND(K125&lt;&gt;K138,K125&lt;&gt;"",K138=""),AND(L125&lt;&gt;L138,L125&lt;&gt;"",L138=""),AND(M125&lt;&gt;M138,M125&lt;&gt;"",M138="")),"The total number of psychomotor responses must match the total number of graduate surveys returned","")))</f>
        <v/>
      </c>
      <c r="P138" s="440"/>
      <c r="Q138" s="440"/>
      <c r="R138" s="440"/>
      <c r="S138" s="440"/>
      <c r="T138" s="440"/>
      <c r="U138" s="440"/>
      <c r="V138" s="440"/>
      <c r="W138" s="440"/>
      <c r="X138" s="440"/>
      <c r="Y138" s="440"/>
    </row>
    <row r="139" spans="2:25" ht="31.5" hidden="1" customHeight="1" x14ac:dyDescent="0.25">
      <c r="B139" s="267" t="s">
        <v>56</v>
      </c>
      <c r="C139" s="268"/>
      <c r="D139" s="268"/>
      <c r="E139" s="148"/>
      <c r="F139" s="148"/>
      <c r="G139" s="148"/>
      <c r="H139" s="148"/>
      <c r="I139" s="148"/>
      <c r="J139" s="148"/>
      <c r="K139" s="148"/>
      <c r="L139" s="148"/>
      <c r="M139" s="148"/>
      <c r="N139" s="162"/>
    </row>
    <row r="140" spans="2:25" ht="18" hidden="1" customHeight="1" x14ac:dyDescent="0.25">
      <c r="B140" s="41"/>
      <c r="C140" s="139" t="s">
        <v>51</v>
      </c>
      <c r="D140" s="56"/>
      <c r="E140" s="153"/>
      <c r="F140" s="153"/>
      <c r="G140" s="153"/>
      <c r="H140" s="153"/>
      <c r="I140" s="153"/>
      <c r="J140" s="153"/>
      <c r="K140" s="153"/>
      <c r="L140" s="153"/>
      <c r="M140" s="153"/>
      <c r="N140" s="154" t="str">
        <f>IF(COUNT(E140:M140),SUM(E140:M140),"")</f>
        <v/>
      </c>
    </row>
    <row r="141" spans="2:25" ht="18" hidden="1" customHeight="1" x14ac:dyDescent="0.25">
      <c r="B141" s="79"/>
      <c r="C141" s="147" t="s">
        <v>52</v>
      </c>
      <c r="D141" s="80"/>
      <c r="E141" s="151"/>
      <c r="F141" s="151"/>
      <c r="G141" s="151"/>
      <c r="H141" s="151"/>
      <c r="I141" s="151"/>
      <c r="J141" s="151"/>
      <c r="K141" s="151"/>
      <c r="L141" s="151"/>
      <c r="M141" s="151"/>
      <c r="N141" s="152" t="str">
        <f>IF(COUNT(E141:M141),SUM(E141:M141),"")</f>
        <v/>
      </c>
    </row>
    <row r="142" spans="2:25" ht="18" hidden="1" customHeight="1" x14ac:dyDescent="0.25">
      <c r="B142" s="41"/>
      <c r="C142" s="139" t="s">
        <v>53</v>
      </c>
      <c r="D142" s="56"/>
      <c r="E142" s="149"/>
      <c r="F142" s="149"/>
      <c r="G142" s="149"/>
      <c r="H142" s="149"/>
      <c r="I142" s="149"/>
      <c r="J142" s="149"/>
      <c r="K142" s="149"/>
      <c r="L142" s="149"/>
      <c r="M142" s="149"/>
      <c r="N142" s="150" t="str">
        <f>IF(COUNT(E142:M142),SUM(E142:M142),"")</f>
        <v/>
      </c>
    </row>
    <row r="143" spans="2:25" ht="18" hidden="1" customHeight="1" x14ac:dyDescent="0.25">
      <c r="B143" s="79"/>
      <c r="C143" s="147" t="s">
        <v>54</v>
      </c>
      <c r="D143" s="80"/>
      <c r="E143" s="151"/>
      <c r="F143" s="151"/>
      <c r="G143" s="151"/>
      <c r="H143" s="151"/>
      <c r="I143" s="151"/>
      <c r="J143" s="151"/>
      <c r="K143" s="151"/>
      <c r="L143" s="151"/>
      <c r="M143" s="151"/>
      <c r="N143" s="152" t="str">
        <f>IF(COUNT(E143:M143),SUM(E143:M143),"")</f>
        <v/>
      </c>
    </row>
    <row r="144" spans="2:25" ht="18" hidden="1" customHeight="1" x14ac:dyDescent="0.25">
      <c r="B144" s="293" t="s">
        <v>23</v>
      </c>
      <c r="C144" s="294"/>
      <c r="D144" s="295"/>
      <c r="E144" s="155" t="str">
        <f>IF(OR(E140="",E141="",E142="",E143=""),"",SUM(E140:E143))</f>
        <v/>
      </c>
      <c r="F144" s="155" t="str">
        <f t="shared" ref="F144:M144" si="21">IF(OR(F140="",F141="",F142="",F143=""),"",SUM(F140:F143))</f>
        <v/>
      </c>
      <c r="G144" s="155" t="str">
        <f t="shared" si="21"/>
        <v/>
      </c>
      <c r="H144" s="155" t="str">
        <f t="shared" si="21"/>
        <v/>
      </c>
      <c r="I144" s="155" t="str">
        <f t="shared" si="21"/>
        <v/>
      </c>
      <c r="J144" s="155" t="str">
        <f t="shared" si="21"/>
        <v/>
      </c>
      <c r="K144" s="155" t="str">
        <f t="shared" si="21"/>
        <v/>
      </c>
      <c r="L144" s="155" t="str">
        <f t="shared" si="21"/>
        <v/>
      </c>
      <c r="M144" s="155" t="str">
        <f t="shared" si="21"/>
        <v/>
      </c>
      <c r="N144" s="32" t="str">
        <f>IF(COUNT(N140:N143),SUM(N140:N143),"")</f>
        <v/>
      </c>
      <c r="O144" s="439" t="str">
        <f>IF(OR(AND(E125&lt;E144,E144&lt;&gt;""),AND(F125&lt;F144,F144&lt;&gt;""),AND(G125&lt;G144,G144&lt;&gt;""),AND(H125&lt;H144,H144&lt;&gt;""),AND(I125&lt;I144,I144&lt;&gt;""),AND(J125&lt;J144,J144&lt;&gt;""),AND(K125&lt;K144,K144&lt;&gt;""),AND(L125&lt;L144,L144&lt;&gt;""),AND(M125&lt;M144,M144&lt;&gt;"")),"The total number of affective responses can not be more than the total number of graduate surveys returned",IF(OR(AND(E125&gt;E144,E144&lt;&gt;""),AND(F125&gt;F144,F144&lt;&gt;""),AND(G125&gt;G144,G144&lt;&gt;""),AND(H125&gt;H144,H144&lt;&gt;""),AND(I125&gt;I144,I144&lt;&gt;""),AND(J125&gt;J144,J144&lt;&gt;""),AND(K125&gt;K144,K144&lt;&gt;""),AND(L125&gt;L144,L144&lt;&gt;""),AND(M125&lt;&gt;M144,M144&lt;&gt;"")),"The total number of affective responses does not match the total number of graduate surveys returned",IF(OR(AND(E125&lt;&gt;E144,E125&lt;&gt;"",E144=""),AND(F125&lt;&gt;F144,F125&lt;&gt;"",F144=""),AND(G125&lt;&gt;G144,G125&lt;&gt;"",G144=""),AND(H125&lt;&gt;H144,H125&lt;&gt;"",H144=""),AND(I125&lt;&gt;I144,I125&lt;&gt;"",I144=""),AND(J125&lt;&gt;J144,J125&lt;&gt;"",J144=""),AND(K125&lt;&gt;K144,K125&lt;&gt;"",K144=""),AND(L125&lt;&gt;L144,L125&lt;&gt;"",L144=""),AND(M125&lt;&gt;M144,M125&lt;&gt;"",M144="")),"The total number of affective responses must match the total number of graduate surveys returned","")))</f>
        <v/>
      </c>
      <c r="P144" s="440"/>
      <c r="Q144" s="440"/>
      <c r="R144" s="440"/>
      <c r="S144" s="440"/>
      <c r="T144" s="440"/>
      <c r="U144" s="440"/>
      <c r="V144" s="440"/>
      <c r="W144" s="440"/>
      <c r="X144" s="440"/>
      <c r="Y144" s="440"/>
    </row>
    <row r="145" spans="2:33" ht="45.75" customHeight="1" x14ac:dyDescent="0.25">
      <c r="B145" s="305"/>
      <c r="C145" s="306"/>
      <c r="D145" s="307"/>
      <c r="E145" s="208">
        <f t="shared" ref="E145:M145" si="22">IF(OR(E123="",E124=""),"",E124/E123)</f>
        <v>1</v>
      </c>
      <c r="F145" s="208">
        <f t="shared" si="22"/>
        <v>1</v>
      </c>
      <c r="G145" s="208" t="str">
        <f t="shared" si="22"/>
        <v/>
      </c>
      <c r="H145" s="208" t="str">
        <f t="shared" si="22"/>
        <v/>
      </c>
      <c r="I145" s="208" t="str">
        <f t="shared" si="22"/>
        <v/>
      </c>
      <c r="J145" s="208" t="str">
        <f t="shared" si="22"/>
        <v/>
      </c>
      <c r="K145" s="208" t="str">
        <f t="shared" si="22"/>
        <v/>
      </c>
      <c r="L145" s="208" t="str">
        <f t="shared" si="22"/>
        <v/>
      </c>
      <c r="M145" s="208" t="str">
        <f t="shared" si="22"/>
        <v/>
      </c>
      <c r="N145" s="210">
        <f>IFERROR(AVERAGE(E145:M145),0)</f>
        <v>1</v>
      </c>
      <c r="O145" s="249" t="str">
        <f>IF(P145=1, "&lt;===", "")</f>
        <v/>
      </c>
      <c r="P145" s="227" t="str">
        <f>IF(O123&lt;&gt;"", 1, "")</f>
        <v/>
      </c>
    </row>
    <row r="146" spans="2:33" ht="58.5" customHeight="1" x14ac:dyDescent="0.25">
      <c r="B146" s="300" t="str">
        <f>IF(AND(N124&lt;&gt;"",N145&lt;100%,N145&lt;&gt;"",B147=""),"Total Number of Surveys Sent Does Not Represent 100% of the Total Reported Graduates. Please complete the analysis and action plan boxes to the right ==&gt;.",IF(AND(N145=100%,B147=""),"Total Number of Surveys Sent Represents 100% of the Number of Reported Graduates.  
Please complete the next table below.",""))</f>
        <v>Total Number of Surveys Sent Represents 100% of the Number of Reported Graduates.  
Please complete the next table below.</v>
      </c>
      <c r="C146" s="301"/>
      <c r="D146" s="301"/>
      <c r="E146" s="301"/>
      <c r="F146" s="301"/>
      <c r="G146" s="301"/>
      <c r="H146" s="301"/>
      <c r="I146" s="301"/>
      <c r="J146" s="301"/>
      <c r="K146" s="301"/>
      <c r="L146" s="301"/>
      <c r="M146" s="301"/>
      <c r="N146" s="302"/>
    </row>
    <row r="147" spans="2:33" ht="51.75" customHeight="1" x14ac:dyDescent="0.25">
      <c r="B147" s="380" t="str">
        <f>IF(OR(AND(N123&lt;N124,N124&lt;&gt;""),AND(E123&lt;E124,E124&lt;&gt;""),AND(F123&lt;F124,F124&lt;&gt;""),AND(G123&lt;G124,G124&lt;&gt;""),AND(H123&lt;H124,H124&lt;&gt;""),AND(I123&lt;I124,I124&lt;&gt;""),AND(J123&lt;J124,J124&lt;&gt;""),AND(K123&lt;K124,K124&lt;&gt;""),AND(L123&lt;L124,L124&lt;&gt;""),AND(M123&lt;M124,M124&lt;&gt;"")),"Error has occurred; The total number of surveys sent cannot be more than the total number of graduates.",IF(OR(AND(E124&lt;E125,E123&gt;=E124,E125&lt;&gt;""),AND(F124&lt;F125,F123&gt;=F124,F125&lt;&gt;""),AND(G124&lt;G125,G123&gt;=G124,G125&lt;&gt;""),AND(H124&lt;H125,H123&gt;=H124,H125&lt;&gt;""),AND(I124&lt;I125,I123&gt;=I124,I125&lt;&gt;""),AND(J124&lt;J125,J123&gt;=J124,J125&lt;&gt;""),AND(K124&lt;K125,K123&gt;=K124,K125&lt;&gt;""),AND(L124&lt;L125,L123&gt;=L124,L125&lt;&gt;""),AND(M124&lt;M125,M123&gt;=M124,M125&lt;&gt;"")),"Error has occurred; The total number of surveys returned cannot be more than the total number of surveys sent.",""))</f>
        <v/>
      </c>
      <c r="C147" s="380"/>
      <c r="D147" s="380"/>
      <c r="E147" s="380"/>
      <c r="F147" s="380"/>
      <c r="G147" s="380"/>
      <c r="H147" s="380"/>
      <c r="I147" s="380"/>
      <c r="J147" s="380"/>
      <c r="K147" s="380"/>
      <c r="L147" s="380"/>
      <c r="M147" s="380"/>
      <c r="N147" s="380"/>
    </row>
    <row r="149" spans="2:33" ht="79.5" customHeight="1" x14ac:dyDescent="0.25">
      <c r="B149" s="318" t="s">
        <v>44</v>
      </c>
      <c r="C149" s="319"/>
      <c r="D149" s="319"/>
      <c r="E149" s="319"/>
      <c r="F149" s="319"/>
      <c r="G149" s="319"/>
      <c r="H149" s="319"/>
      <c r="I149" s="319"/>
      <c r="J149" s="319"/>
      <c r="K149" s="319"/>
      <c r="L149" s="319"/>
      <c r="M149" s="319"/>
      <c r="N149" s="320"/>
      <c r="P149" s="238"/>
    </row>
    <row r="152" spans="2:33" x14ac:dyDescent="0.25">
      <c r="B152" s="19"/>
      <c r="C152" s="20">
        <f>$D$14</f>
        <v>600837</v>
      </c>
      <c r="D152" s="271" t="str">
        <f>$D$16</f>
        <v>Milwaukee Area Technical College</v>
      </c>
      <c r="E152" s="271"/>
      <c r="F152" s="271"/>
      <c r="G152" s="271"/>
      <c r="H152" s="271"/>
      <c r="I152" s="271"/>
      <c r="J152" s="271"/>
      <c r="K152" s="271"/>
      <c r="P152" s="253">
        <f>IF(P154&lt;&gt;"",$D$14,"")</f>
        <v>600837</v>
      </c>
      <c r="Q152" s="253"/>
      <c r="R152" s="255" t="str">
        <f>IF(P154&lt;&gt;"",$D$16,"")</f>
        <v>Milwaukee Area Technical College</v>
      </c>
      <c r="S152" s="255"/>
      <c r="T152" s="255"/>
      <c r="U152" s="255"/>
      <c r="V152" s="255"/>
      <c r="W152" s="255"/>
      <c r="X152" s="255"/>
      <c r="Y152" s="255"/>
      <c r="Z152" s="255"/>
      <c r="AA152" s="255"/>
    </row>
    <row r="153" spans="2:33" x14ac:dyDescent="0.25">
      <c r="B153" s="278"/>
      <c r="C153" s="278"/>
      <c r="R153" s="280" t="str">
        <f>IF(P154&lt;&gt;"","Employer Surveys","")</f>
        <v>Employer Surveys</v>
      </c>
      <c r="S153" s="280"/>
      <c r="T153" s="280"/>
      <c r="U153" s="280"/>
      <c r="V153" s="280"/>
    </row>
    <row r="154" spans="2:33" ht="23.25" customHeight="1" x14ac:dyDescent="0.25">
      <c r="B154" s="119" t="s">
        <v>45</v>
      </c>
      <c r="C154" s="120"/>
      <c r="D154" s="120"/>
      <c r="E154" s="120"/>
      <c r="F154" s="120"/>
      <c r="G154" s="120"/>
      <c r="H154" s="120"/>
      <c r="I154" s="120"/>
      <c r="J154" s="120"/>
      <c r="K154" s="120"/>
      <c r="L154" s="120"/>
      <c r="M154" s="120"/>
      <c r="N154" s="121"/>
      <c r="P154" s="239" t="str">
        <f>IF(AND(B183="Total Number of Surveys Sent Does Not Represent 100% of the Reported Total Positively Placed.  Please complete the analysis and action plan boxes to the right ==&gt;.",B184=""),"Provide a detailed ANALYSIS for Employer Surveys in the box below","")</f>
        <v>Provide a detailed ANALYSIS for Employer Surveys in the box below</v>
      </c>
      <c r="Z154" s="86" t="str">
        <f>IF(P154&lt;&gt;"","Provide a detailed ACTION PLAN for Employer Surveys in the box below","")</f>
        <v>Provide a detailed ACTION PLAN for Employer Surveys in the box below</v>
      </c>
    </row>
    <row r="155" spans="2:33" ht="43.5" customHeight="1" x14ac:dyDescent="0.25">
      <c r="B155" s="427" t="s">
        <v>63</v>
      </c>
      <c r="C155" s="428"/>
      <c r="D155" s="428"/>
      <c r="E155" s="428"/>
      <c r="F155" s="428"/>
      <c r="G155" s="428"/>
      <c r="H155" s="428"/>
      <c r="I155" s="428"/>
      <c r="J155" s="428"/>
      <c r="K155" s="428"/>
      <c r="L155" s="428"/>
      <c r="M155" s="428"/>
      <c r="N155" s="429"/>
      <c r="P155" s="270" t="s">
        <v>119</v>
      </c>
      <c r="Q155" s="270"/>
      <c r="R155" s="270"/>
      <c r="S155" s="270"/>
      <c r="T155" s="270"/>
      <c r="U155" s="270"/>
      <c r="V155" s="270"/>
      <c r="W155" s="270"/>
      <c r="Z155" s="270" t="s">
        <v>120</v>
      </c>
      <c r="AA155" s="270"/>
      <c r="AB155" s="270"/>
      <c r="AC155" s="270"/>
      <c r="AD155" s="270"/>
      <c r="AE155" s="270"/>
      <c r="AF155" s="270"/>
      <c r="AG155" s="270"/>
    </row>
    <row r="156" spans="2:33" ht="41.25" customHeight="1" x14ac:dyDescent="0.25">
      <c r="B156" s="430"/>
      <c r="C156" s="431"/>
      <c r="D156" s="432"/>
      <c r="E156" s="122" t="str">
        <f>IF(AND($G$44&gt;=1,$G$44&lt;&gt;"Please Select"),"Cohort 
#1:","")</f>
        <v>Cohort 
#1:</v>
      </c>
      <c r="F156" s="122" t="str">
        <f>IF(AND($G$44&gt;=2,$G$44&lt;&gt;"Please Select"),"Cohort 
#2:", "")</f>
        <v>Cohort 
#2:</v>
      </c>
      <c r="G156" s="122" t="str">
        <f>IF(AND($G$44&gt;=3, $G$44&lt;&gt;"Please Select"),"Cohort 
#3:","")</f>
        <v/>
      </c>
      <c r="H156" s="122" t="str">
        <f>IF(AND($G$44&gt;=4,$G$44&lt;&gt;"Please Select"), "Cohort 
#4:","")</f>
        <v/>
      </c>
      <c r="I156" s="122" t="str">
        <f>IF(AND($G$44&gt;=5,$G$44&lt;&gt;"Please Select"), "Cohort 
#5:","")</f>
        <v/>
      </c>
      <c r="J156" s="122" t="str">
        <f>IF(AND($G$44&gt;=6,$G$44&lt;&gt;"Please Select"), "Cohort 
#6:","")</f>
        <v/>
      </c>
      <c r="K156" s="122" t="str">
        <f>IF(AND($G$44&gt;=7, $G$44&lt;&gt;"Please Select"),"Cohort 
#7:","")</f>
        <v/>
      </c>
      <c r="L156" s="122" t="str">
        <f>IF(AND($G$44&gt;=8,$G$44&lt;&gt;"Please Select"), "Cohort 
#8:","")</f>
        <v/>
      </c>
      <c r="M156" s="122" t="str">
        <f>IF(AND($G$44&gt;=9,$G$44&lt;&gt;"Please Select"), "Cohort 
#9:","")</f>
        <v/>
      </c>
      <c r="N156" s="122" t="s">
        <v>19</v>
      </c>
      <c r="P156" s="270"/>
      <c r="Q156" s="270"/>
      <c r="R156" s="270"/>
      <c r="S156" s="270"/>
      <c r="T156" s="270"/>
      <c r="U156" s="270"/>
      <c r="V156" s="270"/>
      <c r="W156" s="270"/>
      <c r="Z156" s="270"/>
      <c r="AA156" s="270"/>
      <c r="AB156" s="270"/>
      <c r="AC156" s="270"/>
      <c r="AD156" s="270"/>
      <c r="AE156" s="270"/>
      <c r="AF156" s="270"/>
      <c r="AG156" s="270"/>
    </row>
    <row r="157" spans="2:33" ht="18" customHeight="1" x14ac:dyDescent="0.25">
      <c r="B157" s="281" t="s">
        <v>16</v>
      </c>
      <c r="C157" s="282"/>
      <c r="D157" s="283"/>
      <c r="E157" s="28">
        <f>IF(ISBLANK(E50),"",E50)</f>
        <v>42611</v>
      </c>
      <c r="F157" s="28">
        <f t="shared" ref="F157:M157" si="23">IF(ISBLANK(F50),"",F50)</f>
        <v>42719</v>
      </c>
      <c r="G157" s="28" t="str">
        <f t="shared" si="23"/>
        <v/>
      </c>
      <c r="H157" s="28" t="str">
        <f t="shared" si="23"/>
        <v/>
      </c>
      <c r="I157" s="28" t="str">
        <f t="shared" si="23"/>
        <v/>
      </c>
      <c r="J157" s="28" t="str">
        <f t="shared" si="23"/>
        <v/>
      </c>
      <c r="K157" s="28" t="str">
        <f t="shared" si="23"/>
        <v/>
      </c>
      <c r="L157" s="28" t="str">
        <f t="shared" si="23"/>
        <v/>
      </c>
      <c r="M157" s="28" t="str">
        <f t="shared" si="23"/>
        <v/>
      </c>
      <c r="N157" s="26"/>
      <c r="P157" s="270"/>
      <c r="Q157" s="270"/>
      <c r="R157" s="270"/>
      <c r="S157" s="270"/>
      <c r="T157" s="270"/>
      <c r="U157" s="270"/>
      <c r="V157" s="270"/>
      <c r="W157" s="270"/>
      <c r="Z157" s="270"/>
      <c r="AA157" s="270"/>
      <c r="AB157" s="270"/>
      <c r="AC157" s="270"/>
      <c r="AD157" s="270"/>
      <c r="AE157" s="270"/>
      <c r="AF157" s="270"/>
      <c r="AG157" s="270"/>
    </row>
    <row r="158" spans="2:33" ht="18" customHeight="1" x14ac:dyDescent="0.25">
      <c r="B158" s="425" t="s">
        <v>14</v>
      </c>
      <c r="C158" s="312"/>
      <c r="D158" s="123"/>
      <c r="E158" s="124">
        <f>IF(ISBLANK(E51),"",E51)</f>
        <v>42852</v>
      </c>
      <c r="F158" s="124">
        <f t="shared" ref="F158:M158" si="24">IF(ISBLANK(F51),"",F51)</f>
        <v>42916</v>
      </c>
      <c r="G158" s="124" t="str">
        <f t="shared" si="24"/>
        <v/>
      </c>
      <c r="H158" s="124" t="str">
        <f t="shared" si="24"/>
        <v/>
      </c>
      <c r="I158" s="124" t="str">
        <f t="shared" si="24"/>
        <v/>
      </c>
      <c r="J158" s="124" t="str">
        <f t="shared" si="24"/>
        <v/>
      </c>
      <c r="K158" s="124" t="str">
        <f t="shared" si="24"/>
        <v/>
      </c>
      <c r="L158" s="124" t="str">
        <f t="shared" si="24"/>
        <v/>
      </c>
      <c r="M158" s="124" t="str">
        <f t="shared" si="24"/>
        <v/>
      </c>
      <c r="N158" s="125"/>
      <c r="P158" s="270"/>
      <c r="Q158" s="270"/>
      <c r="R158" s="270"/>
      <c r="S158" s="270"/>
      <c r="T158" s="270"/>
      <c r="U158" s="270"/>
      <c r="V158" s="270"/>
      <c r="W158" s="270"/>
      <c r="Z158" s="270"/>
      <c r="AA158" s="270"/>
      <c r="AB158" s="270"/>
      <c r="AC158" s="270"/>
      <c r="AD158" s="270"/>
      <c r="AE158" s="270"/>
      <c r="AF158" s="270"/>
      <c r="AG158" s="270"/>
    </row>
    <row r="159" spans="2:33" ht="18" customHeight="1" x14ac:dyDescent="0.25">
      <c r="B159" s="293" t="s">
        <v>17</v>
      </c>
      <c r="C159" s="294"/>
      <c r="D159" s="25"/>
      <c r="E159" s="216">
        <f>IF(ISBLANK(E64),"",E64)</f>
        <v>15</v>
      </c>
      <c r="F159" s="216">
        <f t="shared" ref="F159:N159" si="25">IF(ISBLANK(F64),"",F64)</f>
        <v>19</v>
      </c>
      <c r="G159" s="216" t="str">
        <f t="shared" si="25"/>
        <v/>
      </c>
      <c r="H159" s="216" t="str">
        <f t="shared" si="25"/>
        <v/>
      </c>
      <c r="I159" s="216" t="str">
        <f t="shared" si="25"/>
        <v/>
      </c>
      <c r="J159" s="216" t="str">
        <f t="shared" si="25"/>
        <v/>
      </c>
      <c r="K159" s="216" t="str">
        <f t="shared" si="25"/>
        <v/>
      </c>
      <c r="L159" s="216" t="str">
        <f t="shared" si="25"/>
        <v/>
      </c>
      <c r="M159" s="216" t="str">
        <f t="shared" si="25"/>
        <v/>
      </c>
      <c r="N159" s="32">
        <f t="shared" si="25"/>
        <v>34</v>
      </c>
      <c r="P159" s="270"/>
      <c r="Q159" s="270"/>
      <c r="R159" s="270"/>
      <c r="S159" s="270"/>
      <c r="T159" s="270"/>
      <c r="U159" s="270"/>
      <c r="V159" s="270"/>
      <c r="W159" s="270"/>
      <c r="Z159" s="270"/>
      <c r="AA159" s="270"/>
      <c r="AB159" s="270"/>
      <c r="AC159" s="270"/>
      <c r="AD159" s="270"/>
      <c r="AE159" s="270"/>
      <c r="AF159" s="270"/>
      <c r="AG159" s="270"/>
    </row>
    <row r="160" spans="2:33" ht="18" customHeight="1" x14ac:dyDescent="0.25">
      <c r="B160" s="436" t="str">
        <f>"Total Positive Placement in " &amp;D4</f>
        <v>Total Positive Placement in 2017</v>
      </c>
      <c r="C160" s="437"/>
      <c r="D160" s="438"/>
      <c r="E160" s="216">
        <f>IF(ISBLANK(E107),"",E107)</f>
        <v>14</v>
      </c>
      <c r="F160" s="216">
        <f t="shared" ref="F160:M160" si="26">IF(ISBLANK(F107),"",F107)</f>
        <v>19</v>
      </c>
      <c r="G160" s="216" t="str">
        <f t="shared" si="26"/>
        <v/>
      </c>
      <c r="H160" s="216" t="str">
        <f t="shared" si="26"/>
        <v/>
      </c>
      <c r="I160" s="216" t="str">
        <f t="shared" si="26"/>
        <v/>
      </c>
      <c r="J160" s="216" t="str">
        <f t="shared" si="26"/>
        <v/>
      </c>
      <c r="K160" s="216" t="str">
        <f t="shared" si="26"/>
        <v/>
      </c>
      <c r="L160" s="216" t="str">
        <f t="shared" si="26"/>
        <v/>
      </c>
      <c r="M160" s="216" t="str">
        <f t="shared" si="26"/>
        <v/>
      </c>
      <c r="N160" s="32">
        <f t="shared" ref="N160" si="27">IF(ISBLANK(N107),"",N107)</f>
        <v>33</v>
      </c>
      <c r="P160" s="270"/>
      <c r="Q160" s="270"/>
      <c r="R160" s="270"/>
      <c r="S160" s="270"/>
      <c r="T160" s="270"/>
      <c r="U160" s="270"/>
      <c r="V160" s="270"/>
      <c r="W160" s="270"/>
      <c r="Z160" s="270"/>
      <c r="AA160" s="270"/>
      <c r="AB160" s="270"/>
      <c r="AC160" s="270"/>
      <c r="AD160" s="270"/>
      <c r="AE160" s="270"/>
      <c r="AF160" s="270"/>
      <c r="AG160" s="270"/>
    </row>
    <row r="161" spans="2:33" ht="34.5" customHeight="1" x14ac:dyDescent="0.25">
      <c r="B161" s="311" t="s">
        <v>67</v>
      </c>
      <c r="C161" s="452"/>
      <c r="D161" s="453"/>
      <c r="E161" s="190">
        <v>4</v>
      </c>
      <c r="F161" s="190">
        <v>1</v>
      </c>
      <c r="G161" s="190"/>
      <c r="H161" s="190"/>
      <c r="I161" s="190"/>
      <c r="J161" s="190"/>
      <c r="K161" s="190"/>
      <c r="L161" s="190"/>
      <c r="M161" s="190"/>
      <c r="N161" s="126">
        <f>IF(COUNT(E161:M161),SUM(E161:M161),"")</f>
        <v>5</v>
      </c>
      <c r="O161" s="242" t="str">
        <f>IF(O183=1, "&lt;===", "")</f>
        <v/>
      </c>
      <c r="P161" s="270"/>
      <c r="Q161" s="270"/>
      <c r="R161" s="270"/>
      <c r="S161" s="270"/>
      <c r="T161" s="270"/>
      <c r="U161" s="270"/>
      <c r="V161" s="270"/>
      <c r="W161" s="270"/>
      <c r="Z161" s="270"/>
      <c r="AA161" s="270"/>
      <c r="AB161" s="270"/>
      <c r="AC161" s="270"/>
      <c r="AD161" s="270"/>
      <c r="AE161" s="270"/>
      <c r="AF161" s="270"/>
      <c r="AG161" s="270"/>
    </row>
    <row r="162" spans="2:33" ht="34.5" hidden="1" customHeight="1" thickBot="1" x14ac:dyDescent="0.3">
      <c r="B162" s="401" t="s">
        <v>57</v>
      </c>
      <c r="C162" s="402"/>
      <c r="D162" s="403"/>
      <c r="E162" s="101"/>
      <c r="F162" s="101"/>
      <c r="G162" s="101"/>
      <c r="H162" s="101"/>
      <c r="I162" s="101"/>
      <c r="J162" s="101"/>
      <c r="K162" s="101"/>
      <c r="L162" s="101"/>
      <c r="M162" s="101"/>
      <c r="N162" s="102" t="str">
        <f>IF(COUNT(E162:M162),SUM(E162:M162),"")</f>
        <v/>
      </c>
    </row>
    <row r="163" spans="2:33" ht="18" hidden="1" customHeight="1" thickBot="1" x14ac:dyDescent="0.3">
      <c r="B163" s="404"/>
      <c r="C163" s="405"/>
      <c r="D163" s="406"/>
      <c r="E163" s="127"/>
      <c r="F163" s="127"/>
      <c r="G163" s="127"/>
      <c r="H163" s="127"/>
      <c r="I163" s="127"/>
      <c r="J163" s="127"/>
      <c r="K163" s="127"/>
      <c r="L163" s="127"/>
      <c r="M163" s="127"/>
      <c r="N163" s="128"/>
    </row>
    <row r="164" spans="2:33" ht="31.5" hidden="1" customHeight="1" x14ac:dyDescent="0.25">
      <c r="B164" s="311" t="s">
        <v>58</v>
      </c>
      <c r="C164" s="312"/>
      <c r="D164" s="312"/>
      <c r="E164" s="156"/>
      <c r="F164" s="156"/>
      <c r="G164" s="156"/>
      <c r="H164" s="156"/>
      <c r="I164" s="156"/>
      <c r="J164" s="156"/>
      <c r="K164" s="156"/>
      <c r="L164" s="156"/>
      <c r="M164" s="156"/>
      <c r="N164" s="160"/>
    </row>
    <row r="165" spans="2:33" ht="18" hidden="1" customHeight="1" x14ac:dyDescent="0.25">
      <c r="B165" s="41"/>
      <c r="C165" s="139" t="s">
        <v>51</v>
      </c>
      <c r="D165" s="56"/>
      <c r="E165" s="153"/>
      <c r="F165" s="153"/>
      <c r="G165" s="153"/>
      <c r="H165" s="153"/>
      <c r="I165" s="153"/>
      <c r="J165" s="153"/>
      <c r="K165" s="153"/>
      <c r="L165" s="153"/>
      <c r="M165" s="153"/>
      <c r="N165" s="154" t="str">
        <f>IF(COUNT(E165:M165),SUM(E165:M165),"")</f>
        <v/>
      </c>
    </row>
    <row r="166" spans="2:33" ht="18" hidden="1" customHeight="1" x14ac:dyDescent="0.25">
      <c r="B166" s="129"/>
      <c r="C166" s="159" t="s">
        <v>52</v>
      </c>
      <c r="D166" s="130"/>
      <c r="E166" s="157"/>
      <c r="F166" s="157"/>
      <c r="G166" s="157"/>
      <c r="H166" s="157"/>
      <c r="I166" s="157"/>
      <c r="J166" s="157"/>
      <c r="K166" s="157"/>
      <c r="L166" s="157"/>
      <c r="M166" s="157"/>
      <c r="N166" s="158" t="str">
        <f>IF(COUNT(E166:M166),SUM(E166:M166),"")</f>
        <v/>
      </c>
    </row>
    <row r="167" spans="2:33" ht="18" hidden="1" customHeight="1" x14ac:dyDescent="0.25">
      <c r="B167" s="41"/>
      <c r="C167" s="139" t="s">
        <v>53</v>
      </c>
      <c r="D167" s="56"/>
      <c r="E167" s="149"/>
      <c r="F167" s="149"/>
      <c r="G167" s="149"/>
      <c r="H167" s="149"/>
      <c r="I167" s="149"/>
      <c r="J167" s="149"/>
      <c r="K167" s="149"/>
      <c r="L167" s="149"/>
      <c r="M167" s="149"/>
      <c r="N167" s="150" t="str">
        <f>IF(COUNT(E167:M167),SUM(E167:M167),"")</f>
        <v/>
      </c>
      <c r="O167" s="55"/>
      <c r="P167" s="240"/>
      <c r="Q167" s="55"/>
      <c r="R167" s="55"/>
      <c r="S167" s="55"/>
      <c r="T167" s="55"/>
      <c r="U167" s="55"/>
    </row>
    <row r="168" spans="2:33" ht="18" hidden="1" customHeight="1" x14ac:dyDescent="0.25">
      <c r="B168" s="129"/>
      <c r="C168" s="159" t="s">
        <v>54</v>
      </c>
      <c r="D168" s="130"/>
      <c r="E168" s="157"/>
      <c r="F168" s="157"/>
      <c r="G168" s="157"/>
      <c r="H168" s="157"/>
      <c r="I168" s="157"/>
      <c r="J168" s="157"/>
      <c r="K168" s="157"/>
      <c r="L168" s="157"/>
      <c r="M168" s="157"/>
      <c r="N168" s="158" t="str">
        <f>IF(COUNT(E168:M168),SUM(E168:M168),"")</f>
        <v/>
      </c>
    </row>
    <row r="169" spans="2:33" ht="18" hidden="1" customHeight="1" x14ac:dyDescent="0.25">
      <c r="B169" s="293" t="s">
        <v>25</v>
      </c>
      <c r="C169" s="294"/>
      <c r="D169" s="295"/>
      <c r="E169" s="155" t="str">
        <f>IF(OR(E165="",E166="",E167="",E168="",),"",SUM(E165:E168))</f>
        <v/>
      </c>
      <c r="F169" s="155" t="str">
        <f t="shared" ref="F169:M169" si="28">IF(OR(F165="",F166="",F167="",F168="",),"",SUM(F165:F168))</f>
        <v/>
      </c>
      <c r="G169" s="155" t="str">
        <f t="shared" si="28"/>
        <v/>
      </c>
      <c r="H169" s="155" t="str">
        <f t="shared" si="28"/>
        <v/>
      </c>
      <c r="I169" s="155" t="str">
        <f t="shared" si="28"/>
        <v/>
      </c>
      <c r="J169" s="155" t="str">
        <f t="shared" si="28"/>
        <v/>
      </c>
      <c r="K169" s="155" t="str">
        <f t="shared" si="28"/>
        <v/>
      </c>
      <c r="L169" s="155" t="str">
        <f t="shared" si="28"/>
        <v/>
      </c>
      <c r="M169" s="155" t="str">
        <f t="shared" si="28"/>
        <v/>
      </c>
      <c r="N169" s="32" t="str">
        <f>IF(COUNT(N164:N168),SUM(N164:N168),"")</f>
        <v/>
      </c>
      <c r="O169" s="439" t="str">
        <f>IF(OR(AND(E162&lt;E169,E169&lt;&gt;""),AND(F162&lt;F169,F169&lt;&gt;""),AND(G162&lt;G169,G169&lt;&gt;""),AND(H162&lt;H169,H169&lt;&gt;""),AND(I162&lt;I169,I169&lt;&gt;""),AND(J162&lt;J169,J169&lt;&gt;""),AND(K162&lt;K169,K169&lt;&gt;""),AND(L162&lt;L169,L169&lt;&gt;""),AND(M162&lt;M169,M169&lt;&gt;"")),"The total number of cognitive responses can not be more than the total number of employer surveys returned",IF(OR(AND(E162&gt;E169,E169&lt;&gt;""),AND(F162&gt;F169,F169&lt;&gt;""),AND(G162&gt;G169,G169&lt;&gt;""),AND(H162&gt;H169,H169&lt;&gt;""),AND(I162&gt;I169,I169&lt;&gt;""),AND(J162&gt;J169,J169&lt;&gt;""),AND(K162&gt;K169,K169&lt;&gt;""),AND(L162&gt;L169,L169&lt;&gt;""),AND(M162&gt;M169,M169&lt;&gt;"")),"The total number of cognitive responses does not match the total number of employer surveys returned",IF(OR(AND(E162&lt;&gt;E169,E162&lt;&gt;"",E169=""),AND(F162&lt;&gt;F169,F162&lt;&gt;"",F169=""),AND(G162&lt;&gt;G169,G162&lt;&gt;"",G169=""),AND(H162&lt;&gt;H169,H162&lt;&gt;"",H169=""),AND(I162&lt;&gt;I169,I162&lt;&gt;"",I169=""),AND(J162&lt;&gt;J169,J162&lt;&gt;"",J169=""),AND(K162&lt;&gt;K169,K162&lt;&gt;"",K169=""),AND(L162&lt;&gt;L169,L162&lt;&gt;"",L169=""),AND(M162&lt;&gt;M169,M162&lt;&gt;"",M169="")),"The total number of cognitive responses must match the total number of employer surveys returned","")))</f>
        <v/>
      </c>
      <c r="P169" s="440"/>
      <c r="Q169" s="440"/>
      <c r="R169" s="440"/>
      <c r="S169" s="440"/>
      <c r="T169" s="440"/>
      <c r="U169" s="440"/>
      <c r="V169" s="440"/>
      <c r="W169" s="440"/>
      <c r="X169" s="440"/>
      <c r="Y169" s="440"/>
    </row>
    <row r="170" spans="2:33" ht="31.5" hidden="1" customHeight="1" x14ac:dyDescent="0.25">
      <c r="B170" s="311" t="s">
        <v>59</v>
      </c>
      <c r="C170" s="312"/>
      <c r="D170" s="312"/>
      <c r="E170" s="156"/>
      <c r="F170" s="156"/>
      <c r="G170" s="156"/>
      <c r="H170" s="156"/>
      <c r="I170" s="156"/>
      <c r="J170" s="156"/>
      <c r="K170" s="156"/>
      <c r="L170" s="156"/>
      <c r="M170" s="156"/>
      <c r="N170" s="161"/>
    </row>
    <row r="171" spans="2:33" ht="18" hidden="1" customHeight="1" x14ac:dyDescent="0.25">
      <c r="B171" s="41"/>
      <c r="C171" s="139" t="s">
        <v>51</v>
      </c>
      <c r="D171" s="56"/>
      <c r="E171" s="153"/>
      <c r="F171" s="153"/>
      <c r="G171" s="153"/>
      <c r="H171" s="153"/>
      <c r="I171" s="153"/>
      <c r="J171" s="153"/>
      <c r="K171" s="153"/>
      <c r="L171" s="153"/>
      <c r="M171" s="153"/>
      <c r="N171" s="154" t="str">
        <f>IF(COUNT(E171:M171),SUM(E171:M171),"")</f>
        <v/>
      </c>
    </row>
    <row r="172" spans="2:33" ht="18" hidden="1" customHeight="1" x14ac:dyDescent="0.25">
      <c r="B172" s="129"/>
      <c r="C172" s="159" t="s">
        <v>52</v>
      </c>
      <c r="D172" s="130"/>
      <c r="E172" s="157"/>
      <c r="F172" s="157"/>
      <c r="G172" s="157"/>
      <c r="H172" s="157"/>
      <c r="I172" s="157"/>
      <c r="J172" s="157"/>
      <c r="K172" s="157"/>
      <c r="L172" s="157"/>
      <c r="M172" s="157"/>
      <c r="N172" s="158" t="str">
        <f>IF(COUNT(E172:M172),SUM(E172:M172),"")</f>
        <v/>
      </c>
    </row>
    <row r="173" spans="2:33" ht="18" hidden="1" customHeight="1" x14ac:dyDescent="0.25">
      <c r="B173" s="41"/>
      <c r="C173" s="139" t="s">
        <v>53</v>
      </c>
      <c r="D173" s="56"/>
      <c r="E173" s="149"/>
      <c r="F173" s="149"/>
      <c r="G173" s="149"/>
      <c r="H173" s="149"/>
      <c r="I173" s="149"/>
      <c r="J173" s="149"/>
      <c r="K173" s="149"/>
      <c r="L173" s="149"/>
      <c r="M173" s="149"/>
      <c r="N173" s="150" t="str">
        <f>IF(COUNT(E173:M173),SUM(E173:M173),"")</f>
        <v/>
      </c>
    </row>
    <row r="174" spans="2:33" ht="18" hidden="1" customHeight="1" x14ac:dyDescent="0.25">
      <c r="B174" s="129"/>
      <c r="C174" s="159" t="s">
        <v>54</v>
      </c>
      <c r="D174" s="130"/>
      <c r="E174" s="157"/>
      <c r="F174" s="157"/>
      <c r="G174" s="157"/>
      <c r="H174" s="157"/>
      <c r="I174" s="157"/>
      <c r="J174" s="157"/>
      <c r="K174" s="157"/>
      <c r="L174" s="157"/>
      <c r="M174" s="157"/>
      <c r="N174" s="158" t="str">
        <f>IF(COUNT(E174:M174),SUM(E174:M174),"")</f>
        <v/>
      </c>
    </row>
    <row r="175" spans="2:33" ht="18" hidden="1" customHeight="1" x14ac:dyDescent="0.25">
      <c r="B175" s="293" t="s">
        <v>26</v>
      </c>
      <c r="C175" s="294"/>
      <c r="D175" s="295"/>
      <c r="E175" s="155" t="str">
        <f>IF(OR(E171="",E172="",E173="",E174="",),"",SUM(E171:E174))</f>
        <v/>
      </c>
      <c r="F175" s="155" t="str">
        <f t="shared" ref="F175:M175" si="29">IF(OR(F171="",F172="",F173="",F174="",),"",SUM(F171:F174))</f>
        <v/>
      </c>
      <c r="G175" s="155" t="str">
        <f t="shared" si="29"/>
        <v/>
      </c>
      <c r="H175" s="155" t="str">
        <f t="shared" si="29"/>
        <v/>
      </c>
      <c r="I175" s="155" t="str">
        <f t="shared" si="29"/>
        <v/>
      </c>
      <c r="J175" s="155" t="str">
        <f t="shared" si="29"/>
        <v/>
      </c>
      <c r="K175" s="155" t="str">
        <f t="shared" si="29"/>
        <v/>
      </c>
      <c r="L175" s="155" t="str">
        <f t="shared" si="29"/>
        <v/>
      </c>
      <c r="M175" s="155" t="str">
        <f t="shared" si="29"/>
        <v/>
      </c>
      <c r="N175" s="32" t="str">
        <f>IF(COUNT(N171:N174),SUM(N171:N174),"")</f>
        <v/>
      </c>
      <c r="O175" s="439" t="str">
        <f>IF(OR(AND(E162&lt;E175,E175&lt;&gt;""),AND(F162&lt;F175,F175&lt;&gt;""),AND(G162&lt;G175,G175&lt;&gt;""),AND(H162&lt;H175,H175&lt;&gt;""),AND(I162&lt;I175,I175&lt;&gt;""),AND(J162&lt;J175,J175&lt;&gt;""),AND(K162&lt;K175,K175&lt;&gt;""),AND(L162&lt;L175,L175&lt;&gt;""),AND(M162&lt;M175,M175&lt;&gt;"")),"The total number of psychomotor responses can not be more than the total number of employer surveys returned",IF(OR(AND(E162&gt;E175,E175&lt;&gt;""),AND(F162&gt;F175,F175&lt;&gt;""),AND(G162&gt;G175,G175&lt;&gt;""),AND(H162&gt;H175,H175&lt;&gt;""),AND(I162&gt;I175,I175&lt;&gt;""),AND(J162&gt;J175,J175&lt;&gt;""),AND(K162&gt;K175,K175&lt;&gt;""),AND(L162&gt;L175,L175&lt;&gt;""),AND(M162&gt;M175,M175&lt;&gt;"")),"The total number of psychomotor responses does not match the total number of employer surveys returned",IF(OR(AND(E162&lt;&gt;E175,E162&lt;&gt;"",E175=""),AND(F162&lt;&gt;F175,F162&lt;&gt;"",F175=""),AND(G162&lt;&gt;G175,G162&lt;&gt;"",G175=""),AND(H162&lt;&gt;H175,H162&lt;&gt;"",H175=""),AND(I162&lt;&gt;I175,I162&lt;&gt;"",I175=""),AND(J162&lt;&gt;J175,J162&lt;&gt;"",J175=""),AND(K162&lt;&gt;K175,K162&lt;&gt;"",K175=""),AND(L162&lt;&gt;L175,L162&lt;&gt;"",L175=""),AND(M162&lt;&gt;M175,M162&lt;&gt;"",M175="")),"The total number of psychomotor responses must match the total number of employer surveys returned","")))</f>
        <v/>
      </c>
      <c r="P175" s="440"/>
      <c r="Q175" s="440"/>
      <c r="R175" s="440"/>
      <c r="S175" s="440"/>
      <c r="T175" s="440"/>
      <c r="U175" s="440"/>
      <c r="V175" s="440"/>
      <c r="W175" s="440"/>
      <c r="X175" s="440"/>
      <c r="Y175" s="440"/>
    </row>
    <row r="176" spans="2:33" ht="31.5" hidden="1" customHeight="1" x14ac:dyDescent="0.25">
      <c r="B176" s="311" t="s">
        <v>60</v>
      </c>
      <c r="C176" s="312"/>
      <c r="D176" s="312"/>
      <c r="E176" s="156"/>
      <c r="F176" s="156"/>
      <c r="G176" s="156"/>
      <c r="H176" s="156"/>
      <c r="I176" s="156"/>
      <c r="J176" s="156"/>
      <c r="K176" s="156"/>
      <c r="L176" s="156"/>
      <c r="M176" s="156"/>
      <c r="N176" s="166"/>
    </row>
    <row r="177" spans="2:25" ht="18" hidden="1" customHeight="1" x14ac:dyDescent="0.25">
      <c r="B177" s="41"/>
      <c r="C177" s="139" t="s">
        <v>51</v>
      </c>
      <c r="D177" s="56"/>
      <c r="E177" s="153"/>
      <c r="F177" s="153"/>
      <c r="G177" s="153"/>
      <c r="H177" s="153"/>
      <c r="I177" s="153"/>
      <c r="J177" s="153"/>
      <c r="K177" s="153"/>
      <c r="L177" s="153"/>
      <c r="M177" s="153"/>
      <c r="N177" s="154" t="str">
        <f>IF(COUNT(E177:M177),SUM(E177:M177),"")</f>
        <v/>
      </c>
    </row>
    <row r="178" spans="2:25" ht="18" hidden="1" customHeight="1" x14ac:dyDescent="0.25">
      <c r="B178" s="129"/>
      <c r="C178" s="159" t="s">
        <v>52</v>
      </c>
      <c r="D178" s="130"/>
      <c r="E178" s="157"/>
      <c r="F178" s="157"/>
      <c r="G178" s="157"/>
      <c r="H178" s="157"/>
      <c r="I178" s="157"/>
      <c r="J178" s="157"/>
      <c r="K178" s="157"/>
      <c r="L178" s="157"/>
      <c r="M178" s="157"/>
      <c r="N178" s="158" t="str">
        <f>IF(COUNT(E178:M178),SUM(E178:M178),"")</f>
        <v/>
      </c>
    </row>
    <row r="179" spans="2:25" ht="18" hidden="1" customHeight="1" x14ac:dyDescent="0.25">
      <c r="B179" s="41"/>
      <c r="C179" s="139" t="s">
        <v>53</v>
      </c>
      <c r="D179" s="56"/>
      <c r="E179" s="149"/>
      <c r="F179" s="149"/>
      <c r="G179" s="149"/>
      <c r="H179" s="149"/>
      <c r="I179" s="149"/>
      <c r="J179" s="149"/>
      <c r="K179" s="149"/>
      <c r="L179" s="149"/>
      <c r="M179" s="149"/>
      <c r="N179" s="150" t="str">
        <f>IF(COUNT(E179:M179),SUM(E179:M179),"")</f>
        <v/>
      </c>
    </row>
    <row r="180" spans="2:25" ht="18" hidden="1" customHeight="1" x14ac:dyDescent="0.25">
      <c r="B180" s="129"/>
      <c r="C180" s="159" t="s">
        <v>54</v>
      </c>
      <c r="D180" s="130"/>
      <c r="E180" s="157"/>
      <c r="F180" s="157"/>
      <c r="G180" s="157"/>
      <c r="H180" s="157"/>
      <c r="I180" s="157"/>
      <c r="J180" s="157"/>
      <c r="K180" s="157"/>
      <c r="L180" s="157"/>
      <c r="M180" s="157"/>
      <c r="N180" s="158" t="str">
        <f>IF(COUNT(E180:M180),SUM(E180:M180),"")</f>
        <v/>
      </c>
    </row>
    <row r="181" spans="2:25" ht="18" hidden="1" customHeight="1" x14ac:dyDescent="0.25">
      <c r="B181" s="293" t="s">
        <v>23</v>
      </c>
      <c r="C181" s="294"/>
      <c r="D181" s="295"/>
      <c r="E181" s="155" t="str">
        <f>IF(OR(E177="",E178="",E179="",E180="",),"",SUM(E177:E180))</f>
        <v/>
      </c>
      <c r="F181" s="155" t="str">
        <f t="shared" ref="F181:M181" si="30">IF(OR(F177="",F178="",F179="",F180="",),"",SUM(F177:F180))</f>
        <v/>
      </c>
      <c r="G181" s="155" t="str">
        <f t="shared" si="30"/>
        <v/>
      </c>
      <c r="H181" s="155" t="str">
        <f t="shared" si="30"/>
        <v/>
      </c>
      <c r="I181" s="155" t="str">
        <f t="shared" si="30"/>
        <v/>
      </c>
      <c r="J181" s="155" t="str">
        <f t="shared" si="30"/>
        <v/>
      </c>
      <c r="K181" s="155" t="str">
        <f t="shared" si="30"/>
        <v/>
      </c>
      <c r="L181" s="155" t="str">
        <f t="shared" si="30"/>
        <v/>
      </c>
      <c r="M181" s="155" t="str">
        <f t="shared" si="30"/>
        <v/>
      </c>
      <c r="N181" s="32" t="str">
        <f>IF(COUNT(N177:N180),SUM(N177:N180),"")</f>
        <v/>
      </c>
      <c r="O181" s="439" t="str">
        <f>IF(OR(AND(E162&lt;E181,E181&lt;&gt;""),AND(F162&lt;F181,F181&lt;&gt;""),AND(G162&lt;G181,G181&lt;&gt;""),AND(H162&lt;H181,H181&lt;&gt;""),AND(I162&lt;I181,I181&lt;&gt;""),AND(J162&lt;J181,J181&lt;&gt;""),AND(K162&lt;K181,K181&lt;&gt;""),AND(L162&lt;L181,L181&lt;&gt;""),AND(M162&lt;M181,M181&lt;&gt;"")),"The total number of affective responses can not be more than the total number of employer surveys returned",IF(OR(AND(E162&gt;E181,E181&lt;&gt;""),AND(F162&gt;F181,F181&lt;&gt;""),AND(G162&gt;G181,G181&lt;&gt;""),AND(H162&gt;H181,H181&lt;&gt;""),AND(I162&gt;I181,I181&lt;&gt;""),AND(J162&gt;J181,J181&lt;&gt;""),AND(K162&gt;K181,K181&lt;&gt;""),AND(L162&gt;L181,L181&lt;&gt;""),AND(M162&gt;M181,M181&lt;&gt;"")),"The total number of affective responses does not match the total number of employer surveys returned",IF(OR(AND(E162&lt;&gt;E181,E162&lt;&gt;"",E181=""),AND(F162&lt;&gt;F181,F162&lt;&gt;"",F181=""),AND(G162&lt;&gt;G181,G162&lt;&gt;"",G181=""),AND(H162&lt;&gt;H181,H162&lt;&gt;"",H181=""),AND(I162&lt;&gt;I181,I162&lt;&gt;"",I181=""),AND(J162&lt;&gt;J181,J162&lt;&gt;"",J181=""),AND(K162&lt;&gt;K181,K162&lt;&gt;"",K181=""),AND(L162&lt;&gt;L181,L162&lt;&gt;"",L181=""),AND(M162&lt;&gt;M181,M162&lt;&gt;"",M181="")),"The total number of affective responses must match the total number of employer surveys returned","")))</f>
        <v/>
      </c>
      <c r="P181" s="440"/>
      <c r="Q181" s="440"/>
      <c r="R181" s="440"/>
      <c r="S181" s="440"/>
      <c r="T181" s="440"/>
      <c r="U181" s="440"/>
      <c r="V181" s="440"/>
      <c r="W181" s="440"/>
      <c r="X181" s="440"/>
      <c r="Y181" s="440"/>
    </row>
    <row r="182" spans="2:25" ht="45.75" customHeight="1" x14ac:dyDescent="0.25">
      <c r="B182" s="305"/>
      <c r="C182" s="306"/>
      <c r="D182" s="307"/>
      <c r="E182" s="208">
        <f t="shared" ref="E182:G182" si="31">IF(OR(E160="",E161=""),"",IF(ISERROR(E161/E160),1,E161/E160))</f>
        <v>0.2857142857142857</v>
      </c>
      <c r="F182" s="208">
        <f t="shared" si="31"/>
        <v>5.2631578947368418E-2</v>
      </c>
      <c r="G182" s="208" t="str">
        <f t="shared" si="31"/>
        <v/>
      </c>
      <c r="H182" s="208" t="str">
        <f>IF(OR(H160="",H161=""),"",IF(ISERROR(H161/H160),1,H161/H160))</f>
        <v/>
      </c>
      <c r="I182" s="208" t="str">
        <f t="shared" ref="I182:M182" si="32">IF(OR(I160="",I161=""),"",IF(ISERROR(I161/I160),1,I161/I160))</f>
        <v/>
      </c>
      <c r="J182" s="208" t="str">
        <f t="shared" si="32"/>
        <v/>
      </c>
      <c r="K182" s="208" t="str">
        <f t="shared" si="32"/>
        <v/>
      </c>
      <c r="L182" s="208" t="str">
        <f t="shared" si="32"/>
        <v/>
      </c>
      <c r="M182" s="208" t="str">
        <f t="shared" si="32"/>
        <v/>
      </c>
      <c r="N182" s="210">
        <f>IFERROR(AVERAGE(E182:M182),0)</f>
        <v>0.16917293233082706</v>
      </c>
      <c r="O182" s="249" t="str">
        <f>IF(P182=1, "&lt;===", "")</f>
        <v/>
      </c>
      <c r="P182" s="227" t="str">
        <f>IF(OR(AND(E159&lt;&gt;"",E182="",D349&lt;&gt;""),AND(F159&lt;&gt;"",F182="",D349&lt;&gt;""),AND(G159&lt;&gt;"",G182="",D349&lt;&gt;""),AND(H159&lt;&gt;"",H182="",D349&lt;&gt;""),AND(I159&lt;&gt;"",I182="",D349&lt;&gt;""),AND(J159&lt;&gt;"",J182="",D349&lt;&gt;""),AND(K159&lt;&gt;"",K182="",D349&lt;&gt;""),AND(L159&lt;&gt;"",L182="",D349&lt;&gt;""),AND(M159&lt;&gt;"",M182="",D349&lt;&gt;"")), 1, "")</f>
        <v/>
      </c>
    </row>
    <row r="183" spans="2:25" ht="58.5" customHeight="1" x14ac:dyDescent="0.25">
      <c r="B183" s="300" t="str">
        <f>IF(AND(N161&lt;&gt;"",N182&lt;100%,N182&lt;&gt;"",B184=""),"Total Number of Surveys Sent Does Not Represent 100% of the Reported Total Positively Placed.  Please complete the analysis and action plan boxes to the right ==&gt;.",IF(AND(N182=100%,B184=""),"Total Number of Surveys Sent Represents 100% of the Number of Reported Positively Placed.  
Please complete the next table below.",""))</f>
        <v>Total Number of Surveys Sent Does Not Represent 100% of the Reported Total Positively Placed.  Please complete the analysis and action plan boxes to the right ==&gt;.</v>
      </c>
      <c r="C183" s="301"/>
      <c r="D183" s="301"/>
      <c r="E183" s="301"/>
      <c r="F183" s="301"/>
      <c r="G183" s="301"/>
      <c r="H183" s="301"/>
      <c r="I183" s="301"/>
      <c r="J183" s="301"/>
      <c r="K183" s="301"/>
      <c r="L183" s="301"/>
      <c r="M183" s="301"/>
      <c r="N183" s="302"/>
      <c r="O183" s="227" t="str">
        <f>IF(OR(AND(E159&lt;&gt;"",E161="",D349&lt;&gt;""),AND(F159&lt;&gt;"",F161="",D349&lt;&gt;""),AND(G159&lt;&gt;"",G161="",D349&lt;&gt;""),AND(H159&lt;&gt;"",H161="",D349&lt;&gt;""),AND(I159&lt;&gt;"",I161="",D349&lt;&gt;""),AND(J159&lt;&gt;"",J161="",D349&lt;&gt;""),AND(K159&lt;&gt;"",K161="",D349&lt;&gt;""),AND(L159&lt;&gt;"",L161="",D349&lt;&gt;""),AND(M159&lt;&gt;"",M161="",D349&lt;&gt;"")), 1, "")</f>
        <v/>
      </c>
      <c r="P183" s="227"/>
    </row>
    <row r="184" spans="2:25" ht="51.75" customHeight="1" x14ac:dyDescent="0.25">
      <c r="B184" s="380" t="str">
        <f>IF(OR(AND(N160&lt;N161,N161&lt;&gt;""),AND(E160&lt;E161,E161&lt;&gt;""),AND(F160&lt;F161,F161&lt;&gt;""),AND(G160&lt;G161,G161&lt;&gt;""),AND(H160&lt;H161,H161&lt;&gt;""),AND(I160&lt;I161,I161&lt;&gt;""),AND(J160&lt;J161,J161&lt;&gt;""),AND(K160&lt;K161,K161&lt;&gt;""),AND(L160&lt;L161,L161&lt;&gt;""),AND(M160&lt;M161,M161&lt;&gt;"")),"Error has occurred; The total number of surveys sent cannot be more than the total number of graduates placed.",IF(OR(AND(E161&lt;E162,E160&gt;=E161,E162&lt;&gt;""),AND(F161&lt;F162,F160&gt;=F161,F162&lt;&gt;""),AND(G161&lt;G162,G160&gt;=G161,G162&lt;&gt;""),AND(H161&lt;H162,H160&gt;=H161,H162&lt;&gt;""),AND(I161&lt;I162,I160&gt;=I161,I162&lt;&gt;""),AND(J161&lt;J162,J160&gt;=J161,J162&lt;&gt;""),AND(K161&lt;K162,K160&gt;=K161,K162&lt;&gt;""),AND(L161&lt;L162,L160&gt;=L161,L162&lt;&gt;""),AND(M161&lt;M162,M160&gt;=M161,M162&lt;&gt;"")),"Error has occurred; The total number of surveys returned cannot be more than the total number of surveys sent.",""))</f>
        <v/>
      </c>
      <c r="C184" s="380"/>
      <c r="D184" s="380"/>
      <c r="E184" s="380"/>
      <c r="F184" s="380"/>
      <c r="G184" s="380"/>
      <c r="H184" s="380"/>
      <c r="I184" s="380"/>
      <c r="J184" s="380"/>
      <c r="K184" s="380"/>
      <c r="L184" s="380"/>
      <c r="M184" s="380"/>
      <c r="N184" s="380"/>
    </row>
    <row r="186" spans="2:25" ht="79.5" customHeight="1" x14ac:dyDescent="0.25">
      <c r="B186" s="318" t="s">
        <v>46</v>
      </c>
      <c r="C186" s="319"/>
      <c r="D186" s="319"/>
      <c r="E186" s="319"/>
      <c r="F186" s="319"/>
      <c r="G186" s="319"/>
      <c r="H186" s="319"/>
      <c r="I186" s="319"/>
      <c r="J186" s="319"/>
      <c r="K186" s="319"/>
      <c r="L186" s="319"/>
      <c r="M186" s="319"/>
      <c r="N186" s="320"/>
      <c r="P186" s="238"/>
    </row>
    <row r="189" spans="2:25" x14ac:dyDescent="0.25">
      <c r="B189" s="19"/>
      <c r="C189" s="20">
        <f>$D$14</f>
        <v>600837</v>
      </c>
      <c r="D189" s="271" t="str">
        <f>$D$16</f>
        <v>Milwaukee Area Technical College</v>
      </c>
      <c r="E189" s="271"/>
      <c r="F189" s="271"/>
      <c r="G189" s="271"/>
      <c r="H189" s="271"/>
      <c r="I189" s="271"/>
      <c r="J189" s="271"/>
      <c r="K189" s="271"/>
    </row>
    <row r="191" spans="2:25" ht="18" x14ac:dyDescent="0.25">
      <c r="B191" s="48" t="s">
        <v>1</v>
      </c>
      <c r="C191" s="49"/>
      <c r="D191" s="49"/>
      <c r="E191" s="49"/>
      <c r="F191" s="50"/>
      <c r="G191" s="49"/>
      <c r="H191" s="49"/>
      <c r="I191" s="49"/>
      <c r="J191" s="49"/>
      <c r="K191" s="49"/>
      <c r="L191" s="49"/>
      <c r="M191" s="49"/>
      <c r="N191" s="49"/>
    </row>
    <row r="192" spans="2:25" ht="94.5" customHeight="1" x14ac:dyDescent="0.25">
      <c r="B192" s="454" t="s">
        <v>10</v>
      </c>
      <c r="C192" s="454"/>
      <c r="D192" s="454"/>
      <c r="E192" s="454"/>
      <c r="F192" s="454"/>
      <c r="G192" s="454"/>
      <c r="H192" s="454"/>
      <c r="I192" s="454"/>
      <c r="J192" s="454"/>
      <c r="K192" s="454"/>
      <c r="L192" s="454"/>
      <c r="M192" s="454"/>
      <c r="N192" s="454"/>
    </row>
    <row r="193" spans="2:16" ht="22.5" customHeight="1" x14ac:dyDescent="0.25">
      <c r="B193" s="412" t="s">
        <v>15</v>
      </c>
      <c r="C193" s="412"/>
      <c r="D193" s="412"/>
      <c r="E193" s="412"/>
      <c r="F193" s="412"/>
      <c r="G193" s="412"/>
      <c r="H193" s="412"/>
      <c r="I193" s="412"/>
      <c r="J193" s="412"/>
      <c r="K193" s="412"/>
      <c r="L193" s="412"/>
      <c r="M193" s="412"/>
      <c r="N193" s="412"/>
    </row>
    <row r="194" spans="2:16" ht="9.9499999999999993" customHeight="1" x14ac:dyDescent="0.25"/>
    <row r="195" spans="2:16" ht="9.9499999999999993" customHeight="1" x14ac:dyDescent="0.25"/>
    <row r="196" spans="2:16" ht="17.100000000000001" customHeight="1" x14ac:dyDescent="0.25">
      <c r="B196" s="2"/>
      <c r="C196" s="4" t="s">
        <v>0</v>
      </c>
      <c r="E196" s="16"/>
      <c r="G196" s="132" t="s">
        <v>116</v>
      </c>
      <c r="J196" s="257" t="str">
        <f>IF(G196="No", "The program does not operate Satellite Locations.  Please move to the Resource Assessment section below.", "")</f>
        <v>The program does not operate Satellite Locations.  Please move to the Resource Assessment section below.</v>
      </c>
      <c r="K196" s="257"/>
      <c r="L196" s="257"/>
      <c r="M196" s="257"/>
      <c r="N196" s="257"/>
      <c r="O196" s="242" t="str">
        <f>IF(P196=1, "&lt;===", "")</f>
        <v/>
      </c>
      <c r="P196" s="227" t="str">
        <f>IF(AND(G196="Please Select",D349&lt;&gt;""), 1, "")</f>
        <v/>
      </c>
    </row>
    <row r="197" spans="2:16" x14ac:dyDescent="0.25">
      <c r="J197" s="257"/>
      <c r="K197" s="257"/>
      <c r="L197" s="257"/>
      <c r="M197" s="257"/>
      <c r="N197" s="257"/>
    </row>
    <row r="198" spans="2:16" ht="23.25" customHeight="1" x14ac:dyDescent="0.25">
      <c r="C198" s="11"/>
      <c r="D198" t="str">
        <f>IF(G196="Yes", "Number of Satellites?","")</f>
        <v/>
      </c>
      <c r="E198" s="16"/>
      <c r="G198" s="9"/>
      <c r="H198" s="407" t="str">
        <f>IF(AND(G196="Yes",G198=""), " &lt;=== Select from drop down list","")</f>
        <v/>
      </c>
      <c r="I198" s="407"/>
      <c r="J198" s="407"/>
    </row>
    <row r="200" spans="2:16" ht="21.75" customHeight="1" x14ac:dyDescent="0.25">
      <c r="C200" s="413" t="str">
        <f>IF(G196="Yes", "List All Active Satellite Locations","")</f>
        <v/>
      </c>
      <c r="D200" s="413"/>
      <c r="E200" s="413"/>
      <c r="F200" s="413"/>
      <c r="G200" s="413"/>
      <c r="H200" s="413"/>
      <c r="I200" s="228"/>
    </row>
    <row r="201" spans="2:16" ht="63.75" customHeight="1" x14ac:dyDescent="0.25">
      <c r="C201" s="424" t="str">
        <f>IF(G196="Yes", "Satellite Name","")</f>
        <v/>
      </c>
      <c r="D201" s="424"/>
      <c r="E201" s="424"/>
      <c r="F201" s="424" t="str">
        <f>IF(G196="Yes", "State","")</f>
        <v/>
      </c>
      <c r="G201" s="424"/>
      <c r="H201" s="193" t="str">
        <f>IF(G196="Yes", "Satellite located in the same state?","")</f>
        <v/>
      </c>
    </row>
    <row r="202" spans="2:16" ht="18" customHeight="1" x14ac:dyDescent="0.25">
      <c r="C202" s="313"/>
      <c r="D202" s="313"/>
      <c r="E202" s="313"/>
      <c r="F202" s="381"/>
      <c r="G202" s="381"/>
      <c r="H202" s="248" t="str">
        <f>IF(AND(F202&lt;&gt;"",H18=F202),"Yes",IF(AND(F202&lt;&gt;"",H18&lt;&gt;F202),"No",""))</f>
        <v/>
      </c>
      <c r="I202" s="192"/>
      <c r="J202" s="192"/>
      <c r="K202" s="192"/>
      <c r="L202" s="192"/>
      <c r="M202" s="192"/>
      <c r="N202" s="192"/>
      <c r="O202" s="192"/>
    </row>
    <row r="203" spans="2:16" ht="20.100000000000001" customHeight="1" x14ac:dyDescent="0.25">
      <c r="C203" s="313"/>
      <c r="D203" s="313"/>
      <c r="E203" s="313"/>
      <c r="F203" s="381"/>
      <c r="G203" s="381"/>
      <c r="H203" s="248" t="str">
        <f>IF(AND(F203&lt;&gt;"",H18=F203),"Yes",IF(AND(F203&lt;&gt;"",H18&lt;&gt;F203),"No",""))</f>
        <v/>
      </c>
      <c r="I203" s="192"/>
      <c r="J203" s="192"/>
      <c r="K203" s="192"/>
      <c r="L203" s="192"/>
      <c r="M203" s="192"/>
      <c r="N203" s="192"/>
      <c r="O203" s="192"/>
    </row>
    <row r="204" spans="2:16" ht="20.100000000000001" customHeight="1" x14ac:dyDescent="0.25">
      <c r="C204" s="313"/>
      <c r="D204" s="313"/>
      <c r="E204" s="313"/>
      <c r="F204" s="381"/>
      <c r="G204" s="381"/>
      <c r="H204" s="248" t="str">
        <f>IF(AND(F204&lt;&gt;"",H18=F204),"Yes",IF(AND(F204&lt;&gt;"",H18&lt;&gt;F204),"No",""))</f>
        <v/>
      </c>
      <c r="I204" s="192"/>
      <c r="J204" s="192"/>
      <c r="K204" s="192"/>
      <c r="L204" s="192"/>
      <c r="M204" s="192"/>
      <c r="N204" s="192"/>
      <c r="O204" s="192"/>
    </row>
    <row r="205" spans="2:16" ht="20.100000000000001" customHeight="1" x14ac:dyDescent="0.25">
      <c r="C205" s="313"/>
      <c r="D205" s="313"/>
      <c r="E205" s="313"/>
      <c r="F205" s="381"/>
      <c r="G205" s="381"/>
      <c r="H205" s="248" t="str">
        <f>IF(AND(F205&lt;&gt;"",H18=F205),"Yes",IF(AND(F205&lt;&gt;"",H18&lt;&gt;F205),"No",""))</f>
        <v/>
      </c>
      <c r="I205" s="192"/>
      <c r="J205" s="192"/>
      <c r="K205" s="192"/>
      <c r="L205" s="192"/>
      <c r="M205" s="192"/>
      <c r="N205" s="192"/>
      <c r="O205" s="192"/>
    </row>
    <row r="206" spans="2:16" ht="20.100000000000001" customHeight="1" x14ac:dyDescent="0.25">
      <c r="C206" s="313"/>
      <c r="D206" s="313"/>
      <c r="E206" s="313"/>
      <c r="F206" s="381"/>
      <c r="G206" s="381"/>
      <c r="H206" s="248" t="str">
        <f>IF(AND(F206&lt;&gt;"",H18=F206),"Yes",IF(AND(F206&lt;&gt;"",H18&lt;&gt;F206),"No",""))</f>
        <v/>
      </c>
      <c r="I206" s="192"/>
      <c r="J206" s="192"/>
      <c r="K206" s="192"/>
      <c r="L206" s="192"/>
      <c r="M206" s="192"/>
      <c r="N206" s="192"/>
      <c r="O206" s="192"/>
    </row>
    <row r="207" spans="2:16" ht="20.100000000000001" customHeight="1" x14ac:dyDescent="0.25">
      <c r="C207" s="313"/>
      <c r="D207" s="313"/>
      <c r="E207" s="313"/>
      <c r="F207" s="381"/>
      <c r="G207" s="381"/>
      <c r="H207" s="248" t="str">
        <f>IF(AND(F207&lt;&gt;"",H18=F207),"Yes",IF(AND(F207&lt;&gt;"",H18&lt;&gt;F207),"No",""))</f>
        <v/>
      </c>
      <c r="I207" s="192"/>
      <c r="J207" s="192"/>
      <c r="K207" s="192"/>
      <c r="L207" s="192"/>
      <c r="M207" s="192"/>
      <c r="N207" s="192"/>
      <c r="O207" s="192"/>
    </row>
    <row r="208" spans="2:16" ht="20.100000000000001" customHeight="1" x14ac:dyDescent="0.25">
      <c r="C208" s="313"/>
      <c r="D208" s="313"/>
      <c r="E208" s="313"/>
      <c r="F208" s="381"/>
      <c r="G208" s="381"/>
      <c r="H208" s="248" t="str">
        <f>IF(AND(F208&lt;&gt;"",H18=F208),"Yes",IF(AND(F208&lt;&gt;"",H18&lt;&gt;F208),"No",""))</f>
        <v/>
      </c>
      <c r="I208" s="192"/>
      <c r="J208" s="192"/>
      <c r="K208" s="192"/>
      <c r="L208" s="192"/>
      <c r="M208" s="192"/>
      <c r="N208" s="192"/>
      <c r="O208" s="192"/>
    </row>
    <row r="209" spans="2:15" ht="20.100000000000001" customHeight="1" x14ac:dyDescent="0.25">
      <c r="C209" s="313"/>
      <c r="D209" s="313"/>
      <c r="E209" s="313"/>
      <c r="F209" s="381"/>
      <c r="G209" s="381"/>
      <c r="H209" s="248" t="str">
        <f>IF(AND(F209&lt;&gt;"",H18=F209),"Yes",IF(AND(F209&lt;&gt;"",H18&lt;&gt;F209),"No",""))</f>
        <v/>
      </c>
      <c r="I209" s="192"/>
      <c r="J209" s="192"/>
      <c r="K209" s="192"/>
      <c r="L209" s="192"/>
      <c r="M209" s="192"/>
      <c r="N209" s="192"/>
      <c r="O209" s="192"/>
    </row>
    <row r="210" spans="2:15" ht="20.100000000000001" customHeight="1" x14ac:dyDescent="0.25">
      <c r="C210" s="313"/>
      <c r="D210" s="313"/>
      <c r="E210" s="313"/>
      <c r="F210" s="381"/>
      <c r="G210" s="381"/>
      <c r="H210" s="248" t="str">
        <f>IF(AND(F210&lt;&gt;"",H18=F210),"Yes",IF(AND(F210&lt;&gt;"",H18&lt;&gt;F210),"No",""))</f>
        <v/>
      </c>
      <c r="I210" s="192"/>
      <c r="J210" s="192"/>
      <c r="K210" s="192"/>
      <c r="L210" s="192"/>
      <c r="M210" s="192"/>
      <c r="N210" s="192"/>
      <c r="O210" s="192"/>
    </row>
    <row r="211" spans="2:15" ht="20.100000000000001" customHeight="1" x14ac:dyDescent="0.25">
      <c r="C211" s="313"/>
      <c r="D211" s="313"/>
      <c r="E211" s="313"/>
      <c r="F211" s="381"/>
      <c r="G211" s="381"/>
      <c r="H211" s="248" t="str">
        <f>IF(AND(F211&lt;&gt;"",H18=F211),"Yes",IF(AND(F211&lt;&gt;"",H18&lt;&gt;F211),"No",""))</f>
        <v/>
      </c>
      <c r="I211" s="192"/>
      <c r="J211" s="192"/>
      <c r="K211" s="192"/>
      <c r="L211" s="192"/>
      <c r="M211" s="192"/>
      <c r="N211" s="192"/>
      <c r="O211" s="192"/>
    </row>
    <row r="212" spans="2:15" ht="20.100000000000001" customHeight="1" x14ac:dyDescent="0.25">
      <c r="C212" s="313"/>
      <c r="D212" s="313"/>
      <c r="E212" s="313"/>
      <c r="F212" s="381"/>
      <c r="G212" s="381"/>
      <c r="H212" s="248" t="str">
        <f>IF(AND(F212&lt;&gt;"",H18=F212),"Yes",IF(AND(F212&lt;&gt;"",H18&lt;&gt;F212),"No",""))</f>
        <v/>
      </c>
      <c r="I212" s="192"/>
      <c r="J212" s="192"/>
      <c r="K212" s="192"/>
      <c r="L212" s="192"/>
      <c r="M212" s="192"/>
      <c r="N212" s="192"/>
      <c r="O212" s="192"/>
    </row>
    <row r="213" spans="2:15" ht="20.100000000000001" customHeight="1" x14ac:dyDescent="0.25">
      <c r="C213" s="313"/>
      <c r="D213" s="313"/>
      <c r="E213" s="313"/>
      <c r="F213" s="381"/>
      <c r="G213" s="381"/>
      <c r="H213" s="248" t="str">
        <f>IF(AND(F213&lt;&gt;"",H18=F213),"Yes",IF(AND(F213&lt;&gt;"",H18&lt;&gt;F213),"No",""))</f>
        <v/>
      </c>
      <c r="I213" s="192"/>
      <c r="J213" s="192"/>
      <c r="K213" s="192"/>
      <c r="L213" s="192"/>
      <c r="M213" s="192"/>
      <c r="N213" s="192"/>
      <c r="O213" s="192"/>
    </row>
    <row r="214" spans="2:15" ht="20.100000000000001" customHeight="1" x14ac:dyDescent="0.25">
      <c r="C214" s="313"/>
      <c r="D214" s="313"/>
      <c r="E214" s="313"/>
      <c r="F214" s="381"/>
      <c r="G214" s="381"/>
      <c r="H214" s="248" t="str">
        <f>IF(AND(F214&lt;&gt;"",H18=F214),"Yes",IF(AND(F214&lt;&gt;"",H18&lt;&gt;F214),"No",""))</f>
        <v/>
      </c>
      <c r="I214" s="192"/>
      <c r="J214" s="192"/>
      <c r="K214" s="192"/>
      <c r="L214" s="192"/>
      <c r="M214" s="192"/>
      <c r="N214" s="192"/>
      <c r="O214" s="192"/>
    </row>
    <row r="215" spans="2:15" ht="20.100000000000001" customHeight="1" x14ac:dyDescent="0.25">
      <c r="C215" s="313"/>
      <c r="D215" s="313"/>
      <c r="E215" s="313"/>
      <c r="F215" s="381"/>
      <c r="G215" s="381"/>
      <c r="H215" s="248" t="str">
        <f>IF(AND(F215&lt;&gt;"",H18=F215),"Yes",IF(AND(F215&lt;&gt;"",H18&lt;&gt;F215),"No",""))</f>
        <v/>
      </c>
      <c r="I215" s="192"/>
      <c r="J215" s="192"/>
      <c r="K215" s="192"/>
      <c r="L215" s="192"/>
      <c r="M215" s="192"/>
      <c r="N215" s="192"/>
      <c r="O215" s="192"/>
    </row>
    <row r="216" spans="2:15" ht="20.100000000000001" customHeight="1" x14ac:dyDescent="0.25">
      <c r="C216" s="313"/>
      <c r="D216" s="313"/>
      <c r="E216" s="313"/>
      <c r="F216" s="381"/>
      <c r="G216" s="381"/>
      <c r="H216" s="248" t="str">
        <f>IF(AND(F216&lt;&gt;"",H18=F216),"Yes",IF(AND(F216&lt;&gt;"",H18&lt;&gt;F216),"No",""))</f>
        <v/>
      </c>
      <c r="I216" s="192"/>
      <c r="J216" s="192"/>
      <c r="K216" s="192"/>
      <c r="L216" s="192"/>
      <c r="M216" s="192"/>
      <c r="N216" s="192"/>
      <c r="O216" s="192"/>
    </row>
    <row r="221" spans="2:15" ht="23.25" customHeight="1" x14ac:dyDescent="0.25">
      <c r="B221" s="45" t="s">
        <v>24</v>
      </c>
      <c r="C221" s="46"/>
      <c r="D221" s="46"/>
      <c r="E221" s="46"/>
      <c r="F221" s="46"/>
      <c r="G221" s="46"/>
      <c r="H221" s="46"/>
      <c r="I221" s="46"/>
      <c r="J221" s="46"/>
      <c r="K221" s="46"/>
      <c r="L221" s="46"/>
      <c r="M221" s="46"/>
      <c r="N221" s="47"/>
    </row>
    <row r="222" spans="2:15" ht="74.25" customHeight="1" x14ac:dyDescent="0.25">
      <c r="B222" s="433" t="s">
        <v>37</v>
      </c>
      <c r="C222" s="434"/>
      <c r="D222" s="434"/>
      <c r="E222" s="434"/>
      <c r="F222" s="434"/>
      <c r="G222" s="434"/>
      <c r="H222" s="434"/>
      <c r="I222" s="434"/>
      <c r="J222" s="434"/>
      <c r="K222" s="434"/>
      <c r="L222" s="434"/>
      <c r="M222" s="434"/>
      <c r="N222" s="435"/>
    </row>
    <row r="223" spans="2:15" ht="16.5" customHeight="1" x14ac:dyDescent="0.25">
      <c r="B223" s="264" t="s">
        <v>27</v>
      </c>
      <c r="C223" s="265"/>
      <c r="D223" s="265"/>
      <c r="E223" s="265"/>
      <c r="F223" s="265"/>
      <c r="G223" s="265"/>
      <c r="H223" s="265"/>
      <c r="I223" s="265"/>
      <c r="J223" s="265"/>
      <c r="K223" s="265"/>
      <c r="L223" s="265"/>
      <c r="M223" s="265"/>
      <c r="N223" s="266"/>
    </row>
    <row r="224" spans="2:15" ht="14.25" customHeight="1" x14ac:dyDescent="0.25">
      <c r="B224" s="455"/>
      <c r="C224" s="456"/>
      <c r="D224" s="456"/>
      <c r="E224" s="456"/>
      <c r="F224" s="456"/>
      <c r="G224" s="456"/>
      <c r="H224" s="456"/>
      <c r="I224" s="456"/>
      <c r="J224" s="456"/>
      <c r="K224" s="456"/>
      <c r="L224" s="456"/>
      <c r="M224" s="456"/>
      <c r="N224" s="457"/>
    </row>
    <row r="226" spans="2:93" ht="39.75" customHeight="1" x14ac:dyDescent="0.25">
      <c r="B226" s="51" t="s">
        <v>28</v>
      </c>
      <c r="C226" s="458" t="str">
        <f>"Were all of the Resource Assessment Matrix [RAM] categories equal to or above 80% in " &amp;D4 &amp;"?"</f>
        <v>Were all of the Resource Assessment Matrix [RAM] categories equal to or above 80% in 2017?</v>
      </c>
      <c r="D226" s="458"/>
      <c r="E226" s="458"/>
      <c r="F226" s="459"/>
      <c r="G226" s="308" t="s">
        <v>110</v>
      </c>
      <c r="H226" s="309"/>
      <c r="J226" s="287" t="str">
        <f>IF(G226="Yes", "Congratulations!!  All Resource Assessment Matrix categories have been indicated as Met.  Please scroll down to the General Information section below.", "")</f>
        <v>Congratulations!!  All Resource Assessment Matrix categories have been indicated as Met.  Please scroll down to the General Information section below.</v>
      </c>
      <c r="K226" s="287"/>
      <c r="L226" s="287"/>
      <c r="M226" s="287"/>
      <c r="N226" s="287"/>
      <c r="O226" s="242" t="str">
        <f>IF(P226=1, "&lt;===", "")</f>
        <v/>
      </c>
      <c r="P226" s="227" t="str">
        <f>IF(AND(G226="Please Select",D349&lt;&gt;""), 1, "")</f>
        <v/>
      </c>
    </row>
    <row r="228" spans="2:93" ht="18.75" x14ac:dyDescent="0.25">
      <c r="B228" s="52"/>
      <c r="C228" s="290" t="str">
        <f>IF(G226="No","Number of deficient resource categories:", "")</f>
        <v/>
      </c>
      <c r="D228" s="290"/>
      <c r="E228" s="290"/>
      <c r="F228" s="290"/>
      <c r="G228" s="400"/>
      <c r="H228" s="400"/>
    </row>
    <row r="229" spans="2:93" ht="6.75" customHeight="1" x14ac:dyDescent="0.25"/>
    <row r="230" spans="2:93" ht="45.75" customHeight="1" x14ac:dyDescent="0.25">
      <c r="C230" s="379" t="str">
        <f>IF(G228&gt;=1, "Please Note: It is recommended to compose your text in Word, then copy and paste into the text box(es) below.  Click inside the text box to enter/edt or copy/paste text (there is no spell-check).", "")</f>
        <v/>
      </c>
      <c r="D230" s="379"/>
      <c r="E230" s="379"/>
      <c r="F230" s="379"/>
      <c r="G230" s="379"/>
      <c r="H230" s="379"/>
      <c r="I230" s="54"/>
      <c r="J230" s="54"/>
      <c r="K230" s="54"/>
      <c r="L230" s="54"/>
    </row>
    <row r="232" spans="2:93" ht="15" customHeight="1" x14ac:dyDescent="0.25">
      <c r="B232" s="19"/>
      <c r="C232" s="20" t="str">
        <f>IF(G228&gt;=1,$D$14,"")</f>
        <v/>
      </c>
      <c r="D232" s="21"/>
      <c r="E232" s="21"/>
      <c r="F232" s="21"/>
      <c r="G232" s="21"/>
      <c r="H232" s="21"/>
      <c r="I232" s="21"/>
      <c r="J232" s="21"/>
      <c r="K232" s="21"/>
      <c r="P232" s="253" t="str">
        <f>IF(G228&gt;=3,$D$14,"")</f>
        <v/>
      </c>
      <c r="Q232" s="253"/>
      <c r="R232" s="255" t="str">
        <f>IF(G228&gt;=3,$D$16,"")</f>
        <v/>
      </c>
      <c r="S232" s="255"/>
      <c r="T232" s="255"/>
      <c r="U232" s="255"/>
      <c r="V232" s="255"/>
      <c r="W232" s="255"/>
      <c r="X232" s="255"/>
      <c r="Y232" s="255"/>
      <c r="Z232" s="255"/>
      <c r="AA232" s="255"/>
      <c r="AB232" s="303" t="str">
        <f>IF(OR(G228=3,G228=4), "&lt;== Once the analysis and action plan boxes have been 
        completed, CLICK HERE to proceed to the next section", "")</f>
        <v/>
      </c>
      <c r="AC232" s="303"/>
      <c r="AD232" s="303"/>
      <c r="AE232" s="303"/>
      <c r="AF232" s="303"/>
      <c r="AG232" s="303"/>
      <c r="AI232" s="253" t="str">
        <f>IF(G228&gt;=5,$D$14,"")</f>
        <v/>
      </c>
      <c r="AJ232" s="253"/>
      <c r="AK232" s="255" t="str">
        <f>IF(G228&gt;=5,$D$16,"")</f>
        <v/>
      </c>
      <c r="AL232" s="255"/>
      <c r="AM232" s="255"/>
      <c r="AN232" s="255"/>
      <c r="AO232" s="255"/>
      <c r="AP232" s="255"/>
      <c r="AQ232" s="255"/>
      <c r="AR232" s="255"/>
      <c r="AS232" s="255"/>
      <c r="AT232" s="303" t="str">
        <f>IF(OR(G228=5,G228=6), "&lt;== Once the analysis and action plan boxes have been 
        completed, CLICK HERE to proceed to the next section", "")</f>
        <v/>
      </c>
      <c r="AU232" s="303"/>
      <c r="AV232" s="303"/>
      <c r="AW232" s="303"/>
      <c r="AX232" s="303"/>
      <c r="AY232" s="303"/>
      <c r="BA232" s="253" t="str">
        <f>IF(G228&gt;=7,$D$14,"")</f>
        <v/>
      </c>
      <c r="BB232" s="253"/>
      <c r="BC232" s="255" t="str">
        <f>IF(G228&gt;=7,$D$16,"")</f>
        <v/>
      </c>
      <c r="BD232" s="255"/>
      <c r="BE232" s="255"/>
      <c r="BF232" s="255"/>
      <c r="BG232" s="255"/>
      <c r="BH232" s="255"/>
      <c r="BI232" s="255"/>
      <c r="BJ232" s="255"/>
      <c r="BK232" s="255"/>
      <c r="BL232" s="303" t="str">
        <f>IF(OR(G228=7,G228=8), "&lt;== Once the analysis and action plan boxes have been 
        completed, CLICK HERE to proceed to the next section", "")</f>
        <v/>
      </c>
      <c r="BM232" s="303"/>
      <c r="BN232" s="303"/>
      <c r="BO232" s="303"/>
      <c r="BP232" s="303"/>
      <c r="BQ232" s="303"/>
      <c r="BS232" s="253" t="str">
        <f>IF(G228&gt;=9,$D$14,"")</f>
        <v/>
      </c>
      <c r="BT232" s="253"/>
      <c r="BU232" s="255" t="str">
        <f>IF(G228&gt;=9,$D$16,"")</f>
        <v/>
      </c>
      <c r="BV232" s="255"/>
      <c r="BW232" s="255"/>
      <c r="BX232" s="255"/>
      <c r="BY232" s="255"/>
      <c r="BZ232" s="255"/>
      <c r="CA232" s="255"/>
      <c r="CB232" s="255"/>
      <c r="CC232" s="255"/>
      <c r="CD232" s="303" t="str">
        <f>IF(OR(G228=9,G228=10), "&lt;== Once the analysis and action plan boxes have been 
        completed, CLICK HERE to proceed to the next section", "")</f>
        <v/>
      </c>
      <c r="CE232" s="303"/>
      <c r="CF232" s="303"/>
      <c r="CG232" s="303"/>
      <c r="CH232" s="303"/>
      <c r="CI232" s="303"/>
    </row>
    <row r="233" spans="2:93" ht="15" customHeight="1" x14ac:dyDescent="0.25">
      <c r="D233" s="255"/>
      <c r="E233" s="255"/>
      <c r="F233" s="255"/>
      <c r="G233" s="255"/>
      <c r="R233" s="255" t="str">
        <f>IF(G228&gt;=3,"Resource Assessment","")</f>
        <v/>
      </c>
      <c r="S233" s="255"/>
      <c r="T233" s="255"/>
      <c r="U233" s="255"/>
      <c r="V233" s="255"/>
      <c r="AB233" s="303"/>
      <c r="AC233" s="303"/>
      <c r="AD233" s="303"/>
      <c r="AE233" s="303"/>
      <c r="AF233" s="303"/>
      <c r="AG233" s="303"/>
      <c r="AK233" s="255" t="str">
        <f>IF(G228&gt;=5,"Resource Assessment","")</f>
        <v/>
      </c>
      <c r="AL233" s="255"/>
      <c r="AM233" s="255"/>
      <c r="AN233" s="255"/>
      <c r="AO233" s="255"/>
      <c r="AT233" s="303"/>
      <c r="AU233" s="303"/>
      <c r="AV233" s="303"/>
      <c r="AW233" s="303"/>
      <c r="AX233" s="303"/>
      <c r="AY233" s="303"/>
      <c r="BC233" s="255" t="str">
        <f>IF(G228&gt;=7,"Resource Assessment","")</f>
        <v/>
      </c>
      <c r="BD233" s="255"/>
      <c r="BE233" s="255"/>
      <c r="BF233" s="255"/>
      <c r="BG233" s="255"/>
      <c r="BL233" s="303"/>
      <c r="BM233" s="303"/>
      <c r="BN233" s="303"/>
      <c r="BO233" s="303"/>
      <c r="BP233" s="303"/>
      <c r="BQ233" s="303"/>
      <c r="BU233" s="255" t="str">
        <f>IF(G228&gt;=9,"Resource Assessment","")</f>
        <v/>
      </c>
      <c r="BV233" s="255"/>
      <c r="BW233" s="255"/>
      <c r="BX233" s="255"/>
      <c r="BY233" s="255"/>
      <c r="CD233" s="303"/>
      <c r="CE233" s="303"/>
      <c r="CF233" s="303"/>
      <c r="CG233" s="303"/>
      <c r="CH233" s="303"/>
      <c r="CI233" s="303"/>
    </row>
    <row r="234" spans="2:93" ht="15" customHeight="1" x14ac:dyDescent="0.25">
      <c r="B234" s="278"/>
      <c r="C234" s="278"/>
      <c r="K234" s="289" t="str">
        <f>IF(G228&gt;2, "Scroll to the right to provide information on the next deficient resource category ==&gt;", "")</f>
        <v/>
      </c>
      <c r="L234" s="289"/>
      <c r="M234" s="289"/>
      <c r="N234" s="289"/>
      <c r="O234" s="100"/>
      <c r="AC234" s="289" t="str">
        <f>IF(G228&gt;4, "Scroll to the right to provide information on the next deficient resource category ==&gt;", "")</f>
        <v/>
      </c>
      <c r="AD234" s="289"/>
      <c r="AE234" s="289"/>
      <c r="AF234" s="289"/>
      <c r="AG234" s="289"/>
      <c r="AU234" s="289" t="str">
        <f>IF(G228&gt;6, "Scroll to the right to provide information on the next deficient resource category ==&gt;", "")</f>
        <v/>
      </c>
      <c r="AV234" s="289"/>
      <c r="AW234" s="289"/>
      <c r="AX234" s="289"/>
      <c r="AY234" s="289"/>
      <c r="BM234" s="289" t="str">
        <f>IF(G228&gt;8, "Scroll to the right to provide information on the next deficient resource category ==&gt;", "")</f>
        <v/>
      </c>
      <c r="BN234" s="289"/>
      <c r="BO234" s="289"/>
      <c r="BP234" s="289"/>
      <c r="BQ234" s="289"/>
      <c r="CD234" s="167"/>
      <c r="CE234" s="167"/>
      <c r="CF234" s="167"/>
      <c r="CG234" s="167"/>
      <c r="CH234" s="167"/>
      <c r="CI234" s="167"/>
    </row>
    <row r="235" spans="2:93" ht="17.25" customHeight="1" x14ac:dyDescent="0.25">
      <c r="K235" s="289"/>
      <c r="L235" s="289"/>
      <c r="M235" s="289"/>
      <c r="N235" s="289"/>
      <c r="AC235" s="289"/>
      <c r="AD235" s="289"/>
      <c r="AE235" s="289"/>
      <c r="AF235" s="289"/>
      <c r="AG235" s="289"/>
      <c r="AT235" s="100"/>
      <c r="AU235" s="289"/>
      <c r="AV235" s="289"/>
      <c r="AW235" s="289"/>
      <c r="AX235" s="289"/>
      <c r="AY235" s="289"/>
      <c r="BM235" s="289"/>
      <c r="BN235" s="289"/>
      <c r="BO235" s="289"/>
      <c r="BP235" s="289"/>
      <c r="BQ235" s="289"/>
      <c r="CE235" s="100"/>
      <c r="CF235" s="100"/>
      <c r="CG235" s="100"/>
      <c r="CH235" s="100"/>
      <c r="CI235" s="100"/>
    </row>
    <row r="237" spans="2:93" ht="31.5" customHeight="1" x14ac:dyDescent="0.25">
      <c r="B237" s="52"/>
      <c r="C237" s="411" t="str">
        <f>IF(G228&gt;=1,"Deficient Resource Category #1:", "")</f>
        <v/>
      </c>
      <c r="D237" s="411"/>
      <c r="E237" s="400"/>
      <c r="F237" s="400"/>
      <c r="G237" s="400"/>
      <c r="H237" s="52"/>
      <c r="I237" s="426" t="str">
        <f>IF(G228&gt;=2,"Deficient Resource Category #2:", "")</f>
        <v/>
      </c>
      <c r="J237" s="426"/>
      <c r="K237" s="426"/>
      <c r="L237" s="400"/>
      <c r="M237" s="400"/>
      <c r="N237" s="400"/>
      <c r="O237" s="96"/>
      <c r="P237" s="411" t="str">
        <f>IF(G228&gt;=3,"Deficient Resource Category #3:", "")</f>
        <v/>
      </c>
      <c r="Q237" s="411"/>
      <c r="R237" s="411"/>
      <c r="S237" s="411"/>
      <c r="T237" s="400"/>
      <c r="U237" s="400"/>
      <c r="V237" s="400"/>
      <c r="W237" s="400"/>
      <c r="Y237" s="411" t="str">
        <f>IF(G228&gt;=4,"Deficient Resource Category #4:", "")</f>
        <v/>
      </c>
      <c r="Z237" s="411"/>
      <c r="AA237" s="411"/>
      <c r="AB237" s="411"/>
      <c r="AC237" s="400"/>
      <c r="AD237" s="400"/>
      <c r="AE237" s="400"/>
      <c r="AF237" s="400"/>
      <c r="AI237" s="411" t="str">
        <f>IF(G228&gt;=5,"Deficient Resource Category #5:", "")</f>
        <v/>
      </c>
      <c r="AJ237" s="411"/>
      <c r="AK237" s="411"/>
      <c r="AL237" s="411"/>
      <c r="AM237" s="400"/>
      <c r="AN237" s="400"/>
      <c r="AO237" s="400"/>
      <c r="AP237" s="400"/>
      <c r="AR237" s="411" t="str">
        <f>IF(G228&gt;=6,"Deficient Resource Category #6:", "")</f>
        <v/>
      </c>
      <c r="AS237" s="411"/>
      <c r="AT237" s="411"/>
      <c r="AU237" s="411"/>
      <c r="AV237" s="423"/>
      <c r="AW237" s="423"/>
      <c r="AX237" s="423"/>
      <c r="AY237" s="423"/>
      <c r="BA237" s="411" t="str">
        <f>IF(G228&gt;=7,"Deficient Resource Category #7:", "")</f>
        <v/>
      </c>
      <c r="BB237" s="411"/>
      <c r="BC237" s="411"/>
      <c r="BD237" s="411"/>
      <c r="BE237" s="400"/>
      <c r="BF237" s="400"/>
      <c r="BG237" s="400"/>
      <c r="BH237" s="400"/>
      <c r="BJ237" s="411" t="str">
        <f>IF(G228&gt;=8,"Deficient Resource Category #8:", "")</f>
        <v/>
      </c>
      <c r="BK237" s="411"/>
      <c r="BL237" s="411"/>
      <c r="BM237" s="411"/>
      <c r="BN237" s="400"/>
      <c r="BO237" s="400"/>
      <c r="BP237" s="400"/>
      <c r="BQ237" s="400"/>
      <c r="BS237" s="411" t="str">
        <f>IF(G228&gt;=9,"Deficient Resource Category #9:", "")</f>
        <v/>
      </c>
      <c r="BT237" s="411"/>
      <c r="BU237" s="411"/>
      <c r="BV237" s="411"/>
      <c r="BW237" s="400"/>
      <c r="BX237" s="400"/>
      <c r="BY237" s="400"/>
      <c r="CB237" s="411" t="str">
        <f>IF(G228&gt;=10,"Deficient Resource Category #10:", "")</f>
        <v/>
      </c>
      <c r="CC237" s="411"/>
      <c r="CD237" s="411"/>
      <c r="CE237" s="411"/>
      <c r="CF237" s="400"/>
      <c r="CG237" s="400"/>
      <c r="CH237" s="400"/>
      <c r="CK237" s="97"/>
      <c r="CL237" s="97"/>
      <c r="CM237" s="97"/>
      <c r="CN237" s="97"/>
      <c r="CO237" s="97"/>
    </row>
    <row r="238" spans="2:93" ht="21" customHeight="1" x14ac:dyDescent="0.25">
      <c r="C238" s="53"/>
      <c r="I238" s="53"/>
      <c r="P238" s="241"/>
      <c r="Y238" s="53"/>
      <c r="AI238" s="53"/>
      <c r="AR238" s="53"/>
      <c r="BA238" s="53"/>
      <c r="BJ238" s="53"/>
      <c r="BS238" s="53"/>
      <c r="CB238" s="53"/>
    </row>
    <row r="239" spans="2:93" ht="15.75" x14ac:dyDescent="0.25">
      <c r="C239" s="53" t="str">
        <f>IF(G228&gt;=1,"Provide a detailed ANALYSIS for category #1 in the box below","")</f>
        <v/>
      </c>
      <c r="I239" s="53" t="str">
        <f>IF(G228&gt;=2,"Provide a detailed ANALYSIS for category #2 in the box below","")</f>
        <v/>
      </c>
      <c r="P239" s="241" t="str">
        <f>IF(G228&gt;=3,"Provide a detailed ANALYSIS for category #3 in the box below","")</f>
        <v/>
      </c>
      <c r="Y239" s="53" t="str">
        <f>IF(G228&gt;=4,"Provide a detailed ANALYSIS for category #4 in the box below","")</f>
        <v/>
      </c>
      <c r="AI239" s="53" t="str">
        <f>IF(G228&gt;=5,"Provide a detailed ANALYSIS for category #5 in the box below","")</f>
        <v/>
      </c>
      <c r="AR239" s="53" t="str">
        <f>IF(G228&gt;=6,"Provide a detailed ANALYSIS for category #6 in the box below","")</f>
        <v/>
      </c>
      <c r="BA239" s="53" t="str">
        <f>IF(G228&gt;=7,"Provide a detailed ANALYSIS for category #7 in the box below","")</f>
        <v/>
      </c>
      <c r="BJ239" s="53" t="str">
        <f>IF(G228&gt;=8,"Provide a detailed ANALYSIS for category #8 in the box below","")</f>
        <v/>
      </c>
      <c r="BS239" s="53" t="str">
        <f>IF(G228&gt;=9,"Provide a detailed ANALYSIS for category #9 in the box below","")</f>
        <v/>
      </c>
      <c r="CB239" s="53" t="str">
        <f>IF(G228&gt;=10,"Provide a detailed ANALYSIS for category #10 in the box below","")</f>
        <v/>
      </c>
    </row>
    <row r="240" spans="2:93" ht="12" customHeight="1" x14ac:dyDescent="0.25">
      <c r="C240" s="288"/>
      <c r="D240" s="288"/>
      <c r="E240" s="288"/>
      <c r="F240" s="288"/>
      <c r="G240" s="288"/>
      <c r="H240" s="104"/>
      <c r="I240" s="288"/>
      <c r="J240" s="288"/>
      <c r="K240" s="288"/>
      <c r="L240" s="288"/>
      <c r="M240" s="288"/>
      <c r="N240" s="288"/>
      <c r="O240" s="104"/>
      <c r="P240" s="288"/>
      <c r="Q240" s="288"/>
      <c r="R240" s="288"/>
      <c r="S240" s="288"/>
      <c r="T240" s="288"/>
      <c r="U240" s="288"/>
      <c r="V240" s="288"/>
      <c r="W240" s="288"/>
      <c r="X240" s="104"/>
      <c r="Y240" s="288"/>
      <c r="Z240" s="288"/>
      <c r="AA240" s="288"/>
      <c r="AB240" s="288"/>
      <c r="AC240" s="288"/>
      <c r="AD240" s="288"/>
      <c r="AE240" s="288"/>
      <c r="AF240" s="288"/>
      <c r="AG240" s="104"/>
      <c r="AH240" s="104"/>
      <c r="AI240" s="296"/>
      <c r="AJ240" s="296"/>
      <c r="AK240" s="296"/>
      <c r="AL240" s="296"/>
      <c r="AM240" s="296"/>
      <c r="AN240" s="296"/>
      <c r="AO240" s="296"/>
      <c r="AP240" s="296"/>
      <c r="AQ240" s="104"/>
      <c r="AR240" s="296"/>
      <c r="AS240" s="296"/>
      <c r="AT240" s="296"/>
      <c r="AU240" s="296"/>
      <c r="AV240" s="296"/>
      <c r="AW240" s="296"/>
      <c r="AX240" s="296"/>
      <c r="AY240" s="296"/>
      <c r="BA240" s="296"/>
      <c r="BB240" s="296"/>
      <c r="BC240" s="296"/>
      <c r="BD240" s="296"/>
      <c r="BE240" s="296"/>
      <c r="BF240" s="296"/>
      <c r="BG240" s="296"/>
      <c r="BH240" s="296"/>
      <c r="BI240" s="104"/>
      <c r="BJ240" s="296"/>
      <c r="BK240" s="296"/>
      <c r="BL240" s="296"/>
      <c r="BM240" s="296"/>
      <c r="BN240" s="296"/>
      <c r="BO240" s="296"/>
      <c r="BP240" s="296"/>
      <c r="BQ240" s="296"/>
      <c r="BS240" s="296"/>
      <c r="BT240" s="296"/>
      <c r="BU240" s="296"/>
      <c r="BV240" s="296"/>
      <c r="BW240" s="296"/>
      <c r="BX240" s="296"/>
      <c r="BY240" s="296"/>
      <c r="BZ240" s="296"/>
      <c r="CA240" s="104"/>
      <c r="CB240" s="296"/>
      <c r="CC240" s="296"/>
      <c r="CD240" s="296"/>
      <c r="CE240" s="296"/>
      <c r="CF240" s="296"/>
      <c r="CG240" s="296"/>
      <c r="CH240" s="296"/>
      <c r="CI240" s="296"/>
      <c r="CJ240" s="104"/>
      <c r="CK240" s="104"/>
      <c r="CL240" s="104"/>
      <c r="CM240" s="104"/>
      <c r="CN240" s="104"/>
      <c r="CO240" s="104"/>
    </row>
    <row r="241" spans="3:93" ht="12" customHeight="1" x14ac:dyDescent="0.25">
      <c r="C241" s="288"/>
      <c r="D241" s="288"/>
      <c r="E241" s="288"/>
      <c r="F241" s="288"/>
      <c r="G241" s="288"/>
      <c r="H241" s="104"/>
      <c r="I241" s="288"/>
      <c r="J241" s="288"/>
      <c r="K241" s="288"/>
      <c r="L241" s="288"/>
      <c r="M241" s="288"/>
      <c r="N241" s="288"/>
      <c r="O241" s="104"/>
      <c r="P241" s="288"/>
      <c r="Q241" s="288"/>
      <c r="R241" s="288"/>
      <c r="S241" s="288"/>
      <c r="T241" s="288"/>
      <c r="U241" s="288"/>
      <c r="V241" s="288"/>
      <c r="W241" s="288"/>
      <c r="X241" s="104"/>
      <c r="Y241" s="288"/>
      <c r="Z241" s="288"/>
      <c r="AA241" s="288"/>
      <c r="AB241" s="288"/>
      <c r="AC241" s="288"/>
      <c r="AD241" s="288"/>
      <c r="AE241" s="288"/>
      <c r="AF241" s="288"/>
      <c r="AG241" s="104"/>
      <c r="AH241" s="104"/>
      <c r="AI241" s="296"/>
      <c r="AJ241" s="296"/>
      <c r="AK241" s="296"/>
      <c r="AL241" s="296"/>
      <c r="AM241" s="296"/>
      <c r="AN241" s="296"/>
      <c r="AO241" s="296"/>
      <c r="AP241" s="296"/>
      <c r="AQ241" s="104"/>
      <c r="AR241" s="296"/>
      <c r="AS241" s="296"/>
      <c r="AT241" s="296"/>
      <c r="AU241" s="296"/>
      <c r="AV241" s="296"/>
      <c r="AW241" s="296"/>
      <c r="AX241" s="296"/>
      <c r="AY241" s="296"/>
      <c r="BA241" s="296"/>
      <c r="BB241" s="296"/>
      <c r="BC241" s="296"/>
      <c r="BD241" s="296"/>
      <c r="BE241" s="296"/>
      <c r="BF241" s="296"/>
      <c r="BG241" s="296"/>
      <c r="BH241" s="296"/>
      <c r="BI241" s="104"/>
      <c r="BJ241" s="296"/>
      <c r="BK241" s="296"/>
      <c r="BL241" s="296"/>
      <c r="BM241" s="296"/>
      <c r="BN241" s="296"/>
      <c r="BO241" s="296"/>
      <c r="BP241" s="296"/>
      <c r="BQ241" s="296"/>
      <c r="BS241" s="296"/>
      <c r="BT241" s="296"/>
      <c r="BU241" s="296"/>
      <c r="BV241" s="296"/>
      <c r="BW241" s="296"/>
      <c r="BX241" s="296"/>
      <c r="BY241" s="296"/>
      <c r="BZ241" s="296"/>
      <c r="CA241" s="104"/>
      <c r="CB241" s="296"/>
      <c r="CC241" s="296"/>
      <c r="CD241" s="296"/>
      <c r="CE241" s="296"/>
      <c r="CF241" s="296"/>
      <c r="CG241" s="296"/>
      <c r="CH241" s="296"/>
      <c r="CI241" s="296"/>
      <c r="CJ241" s="104"/>
      <c r="CK241" s="104"/>
      <c r="CL241" s="104"/>
      <c r="CM241" s="104"/>
      <c r="CN241" s="104"/>
      <c r="CO241" s="104"/>
    </row>
    <row r="242" spans="3:93" ht="12" customHeight="1" x14ac:dyDescent="0.25">
      <c r="C242" s="288"/>
      <c r="D242" s="288"/>
      <c r="E242" s="288"/>
      <c r="F242" s="288"/>
      <c r="G242" s="288"/>
      <c r="H242" s="104"/>
      <c r="I242" s="288"/>
      <c r="J242" s="288"/>
      <c r="K242" s="288"/>
      <c r="L242" s="288"/>
      <c r="M242" s="288"/>
      <c r="N242" s="288"/>
      <c r="O242" s="104"/>
      <c r="P242" s="288"/>
      <c r="Q242" s="288"/>
      <c r="R242" s="288"/>
      <c r="S242" s="288"/>
      <c r="T242" s="288"/>
      <c r="U242" s="288"/>
      <c r="V242" s="288"/>
      <c r="W242" s="288"/>
      <c r="X242" s="104"/>
      <c r="Y242" s="288"/>
      <c r="Z242" s="288"/>
      <c r="AA242" s="288"/>
      <c r="AB242" s="288"/>
      <c r="AC242" s="288"/>
      <c r="AD242" s="288"/>
      <c r="AE242" s="288"/>
      <c r="AF242" s="288"/>
      <c r="AG242" s="104"/>
      <c r="AH242" s="104"/>
      <c r="AI242" s="296"/>
      <c r="AJ242" s="296"/>
      <c r="AK242" s="296"/>
      <c r="AL242" s="296"/>
      <c r="AM242" s="296"/>
      <c r="AN242" s="296"/>
      <c r="AO242" s="296"/>
      <c r="AP242" s="296"/>
      <c r="AQ242" s="104"/>
      <c r="AR242" s="296"/>
      <c r="AS242" s="296"/>
      <c r="AT242" s="296"/>
      <c r="AU242" s="296"/>
      <c r="AV242" s="296"/>
      <c r="AW242" s="296"/>
      <c r="AX242" s="296"/>
      <c r="AY242" s="296"/>
      <c r="BA242" s="296"/>
      <c r="BB242" s="296"/>
      <c r="BC242" s="296"/>
      <c r="BD242" s="296"/>
      <c r="BE242" s="296"/>
      <c r="BF242" s="296"/>
      <c r="BG242" s="296"/>
      <c r="BH242" s="296"/>
      <c r="BI242" s="104"/>
      <c r="BJ242" s="296"/>
      <c r="BK242" s="296"/>
      <c r="BL242" s="296"/>
      <c r="BM242" s="296"/>
      <c r="BN242" s="296"/>
      <c r="BO242" s="296"/>
      <c r="BP242" s="296"/>
      <c r="BQ242" s="296"/>
      <c r="BS242" s="296"/>
      <c r="BT242" s="296"/>
      <c r="BU242" s="296"/>
      <c r="BV242" s="296"/>
      <c r="BW242" s="296"/>
      <c r="BX242" s="296"/>
      <c r="BY242" s="296"/>
      <c r="BZ242" s="296"/>
      <c r="CA242" s="104"/>
      <c r="CB242" s="296"/>
      <c r="CC242" s="296"/>
      <c r="CD242" s="296"/>
      <c r="CE242" s="296"/>
      <c r="CF242" s="296"/>
      <c r="CG242" s="296"/>
      <c r="CH242" s="296"/>
      <c r="CI242" s="296"/>
      <c r="CJ242" s="104"/>
      <c r="CK242" s="104"/>
      <c r="CL242" s="104"/>
      <c r="CM242" s="104"/>
      <c r="CN242" s="104"/>
      <c r="CO242" s="104"/>
    </row>
    <row r="243" spans="3:93" ht="12" customHeight="1" x14ac:dyDescent="0.25">
      <c r="C243" s="288"/>
      <c r="D243" s="288"/>
      <c r="E243" s="288"/>
      <c r="F243" s="288"/>
      <c r="G243" s="288"/>
      <c r="H243" s="104"/>
      <c r="I243" s="288"/>
      <c r="J243" s="288"/>
      <c r="K243" s="288"/>
      <c r="L243" s="288"/>
      <c r="M243" s="288"/>
      <c r="N243" s="288"/>
      <c r="O243" s="104"/>
      <c r="P243" s="288"/>
      <c r="Q243" s="288"/>
      <c r="R243" s="288"/>
      <c r="S243" s="288"/>
      <c r="T243" s="288"/>
      <c r="U243" s="288"/>
      <c r="V243" s="288"/>
      <c r="W243" s="288"/>
      <c r="X243" s="104"/>
      <c r="Y243" s="288"/>
      <c r="Z243" s="288"/>
      <c r="AA243" s="288"/>
      <c r="AB243" s="288"/>
      <c r="AC243" s="288"/>
      <c r="AD243" s="288"/>
      <c r="AE243" s="288"/>
      <c r="AF243" s="288"/>
      <c r="AG243" s="104"/>
      <c r="AH243" s="104"/>
      <c r="AI243" s="296"/>
      <c r="AJ243" s="296"/>
      <c r="AK243" s="296"/>
      <c r="AL243" s="296"/>
      <c r="AM243" s="296"/>
      <c r="AN243" s="296"/>
      <c r="AO243" s="296"/>
      <c r="AP243" s="296"/>
      <c r="AQ243" s="104"/>
      <c r="AR243" s="296"/>
      <c r="AS243" s="296"/>
      <c r="AT243" s="296"/>
      <c r="AU243" s="296"/>
      <c r="AV243" s="296"/>
      <c r="AW243" s="296"/>
      <c r="AX243" s="296"/>
      <c r="AY243" s="296"/>
      <c r="BA243" s="296"/>
      <c r="BB243" s="296"/>
      <c r="BC243" s="296"/>
      <c r="BD243" s="296"/>
      <c r="BE243" s="296"/>
      <c r="BF243" s="296"/>
      <c r="BG243" s="296"/>
      <c r="BH243" s="296"/>
      <c r="BI243" s="104"/>
      <c r="BJ243" s="296"/>
      <c r="BK243" s="296"/>
      <c r="BL243" s="296"/>
      <c r="BM243" s="296"/>
      <c r="BN243" s="296"/>
      <c r="BO243" s="296"/>
      <c r="BP243" s="296"/>
      <c r="BQ243" s="296"/>
      <c r="BS243" s="296"/>
      <c r="BT243" s="296"/>
      <c r="BU243" s="296"/>
      <c r="BV243" s="296"/>
      <c r="BW243" s="296"/>
      <c r="BX243" s="296"/>
      <c r="BY243" s="296"/>
      <c r="BZ243" s="296"/>
      <c r="CA243" s="104"/>
      <c r="CB243" s="296"/>
      <c r="CC243" s="296"/>
      <c r="CD243" s="296"/>
      <c r="CE243" s="296"/>
      <c r="CF243" s="296"/>
      <c r="CG243" s="296"/>
      <c r="CH243" s="296"/>
      <c r="CI243" s="296"/>
      <c r="CJ243" s="104"/>
      <c r="CK243" s="104"/>
      <c r="CL243" s="104"/>
      <c r="CM243" s="104"/>
      <c r="CN243" s="104"/>
      <c r="CO243" s="104"/>
    </row>
    <row r="244" spans="3:93" ht="12" customHeight="1" x14ac:dyDescent="0.25">
      <c r="C244" s="288"/>
      <c r="D244" s="288"/>
      <c r="E244" s="288"/>
      <c r="F244" s="288"/>
      <c r="G244" s="288"/>
      <c r="H244" s="104"/>
      <c r="I244" s="288"/>
      <c r="J244" s="288"/>
      <c r="K244" s="288"/>
      <c r="L244" s="288"/>
      <c r="M244" s="288"/>
      <c r="N244" s="288"/>
      <c r="O244" s="104"/>
      <c r="P244" s="288"/>
      <c r="Q244" s="288"/>
      <c r="R244" s="288"/>
      <c r="S244" s="288"/>
      <c r="T244" s="288"/>
      <c r="U244" s="288"/>
      <c r="V244" s="288"/>
      <c r="W244" s="288"/>
      <c r="X244" s="104"/>
      <c r="Y244" s="288"/>
      <c r="Z244" s="288"/>
      <c r="AA244" s="288"/>
      <c r="AB244" s="288"/>
      <c r="AC244" s="288"/>
      <c r="AD244" s="288"/>
      <c r="AE244" s="288"/>
      <c r="AF244" s="288"/>
      <c r="AG244" s="104"/>
      <c r="AH244" s="104"/>
      <c r="AI244" s="296"/>
      <c r="AJ244" s="296"/>
      <c r="AK244" s="296"/>
      <c r="AL244" s="296"/>
      <c r="AM244" s="296"/>
      <c r="AN244" s="296"/>
      <c r="AO244" s="296"/>
      <c r="AP244" s="296"/>
      <c r="AQ244" s="104"/>
      <c r="AR244" s="296"/>
      <c r="AS244" s="296"/>
      <c r="AT244" s="296"/>
      <c r="AU244" s="296"/>
      <c r="AV244" s="296"/>
      <c r="AW244" s="296"/>
      <c r="AX244" s="296"/>
      <c r="AY244" s="296"/>
      <c r="BA244" s="296"/>
      <c r="BB244" s="296"/>
      <c r="BC244" s="296"/>
      <c r="BD244" s="296"/>
      <c r="BE244" s="296"/>
      <c r="BF244" s="296"/>
      <c r="BG244" s="296"/>
      <c r="BH244" s="296"/>
      <c r="BI244" s="104"/>
      <c r="BJ244" s="296"/>
      <c r="BK244" s="296"/>
      <c r="BL244" s="296"/>
      <c r="BM244" s="296"/>
      <c r="BN244" s="296"/>
      <c r="BO244" s="296"/>
      <c r="BP244" s="296"/>
      <c r="BQ244" s="296"/>
      <c r="BS244" s="296"/>
      <c r="BT244" s="296"/>
      <c r="BU244" s="296"/>
      <c r="BV244" s="296"/>
      <c r="BW244" s="296"/>
      <c r="BX244" s="296"/>
      <c r="BY244" s="296"/>
      <c r="BZ244" s="296"/>
      <c r="CA244" s="104"/>
      <c r="CB244" s="296"/>
      <c r="CC244" s="296"/>
      <c r="CD244" s="296"/>
      <c r="CE244" s="296"/>
      <c r="CF244" s="296"/>
      <c r="CG244" s="296"/>
      <c r="CH244" s="296"/>
      <c r="CI244" s="296"/>
      <c r="CJ244" s="104"/>
      <c r="CK244" s="104"/>
      <c r="CL244" s="104"/>
      <c r="CM244" s="104"/>
      <c r="CN244" s="104"/>
      <c r="CO244" s="104"/>
    </row>
    <row r="245" spans="3:93" ht="12" customHeight="1" x14ac:dyDescent="0.25">
      <c r="C245" s="288"/>
      <c r="D245" s="288"/>
      <c r="E245" s="288"/>
      <c r="F245" s="288"/>
      <c r="G245" s="288"/>
      <c r="H245" s="104"/>
      <c r="I245" s="288"/>
      <c r="J245" s="288"/>
      <c r="K245" s="288"/>
      <c r="L245" s="288"/>
      <c r="M245" s="288"/>
      <c r="N245" s="288"/>
      <c r="O245" s="104"/>
      <c r="P245" s="288"/>
      <c r="Q245" s="288"/>
      <c r="R245" s="288"/>
      <c r="S245" s="288"/>
      <c r="T245" s="288"/>
      <c r="U245" s="288"/>
      <c r="V245" s="288"/>
      <c r="W245" s="288"/>
      <c r="X245" s="104"/>
      <c r="Y245" s="288"/>
      <c r="Z245" s="288"/>
      <c r="AA245" s="288"/>
      <c r="AB245" s="288"/>
      <c r="AC245" s="288"/>
      <c r="AD245" s="288"/>
      <c r="AE245" s="288"/>
      <c r="AF245" s="288"/>
      <c r="AG245" s="104"/>
      <c r="AH245" s="104"/>
      <c r="AI245" s="296"/>
      <c r="AJ245" s="296"/>
      <c r="AK245" s="296"/>
      <c r="AL245" s="296"/>
      <c r="AM245" s="296"/>
      <c r="AN245" s="296"/>
      <c r="AO245" s="296"/>
      <c r="AP245" s="296"/>
      <c r="AQ245" s="104"/>
      <c r="AR245" s="296"/>
      <c r="AS245" s="296"/>
      <c r="AT245" s="296"/>
      <c r="AU245" s="296"/>
      <c r="AV245" s="296"/>
      <c r="AW245" s="296"/>
      <c r="AX245" s="296"/>
      <c r="AY245" s="296"/>
      <c r="BA245" s="296"/>
      <c r="BB245" s="296"/>
      <c r="BC245" s="296"/>
      <c r="BD245" s="296"/>
      <c r="BE245" s="296"/>
      <c r="BF245" s="296"/>
      <c r="BG245" s="296"/>
      <c r="BH245" s="296"/>
      <c r="BI245" s="104"/>
      <c r="BJ245" s="296"/>
      <c r="BK245" s="296"/>
      <c r="BL245" s="296"/>
      <c r="BM245" s="296"/>
      <c r="BN245" s="296"/>
      <c r="BO245" s="296"/>
      <c r="BP245" s="296"/>
      <c r="BQ245" s="296"/>
      <c r="BS245" s="296"/>
      <c r="BT245" s="296"/>
      <c r="BU245" s="296"/>
      <c r="BV245" s="296"/>
      <c r="BW245" s="296"/>
      <c r="BX245" s="296"/>
      <c r="BY245" s="296"/>
      <c r="BZ245" s="296"/>
      <c r="CA245" s="104"/>
      <c r="CB245" s="296"/>
      <c r="CC245" s="296"/>
      <c r="CD245" s="296"/>
      <c r="CE245" s="296"/>
      <c r="CF245" s="296"/>
      <c r="CG245" s="296"/>
      <c r="CH245" s="296"/>
      <c r="CI245" s="296"/>
      <c r="CJ245" s="104"/>
      <c r="CK245" s="104"/>
      <c r="CL245" s="104"/>
      <c r="CM245" s="104"/>
      <c r="CN245" s="104"/>
      <c r="CO245" s="104"/>
    </row>
    <row r="246" spans="3:93" ht="12" customHeight="1" x14ac:dyDescent="0.25">
      <c r="C246" s="288"/>
      <c r="D246" s="288"/>
      <c r="E246" s="288"/>
      <c r="F246" s="288"/>
      <c r="G246" s="288"/>
      <c r="H246" s="104"/>
      <c r="I246" s="288"/>
      <c r="J246" s="288"/>
      <c r="K246" s="288"/>
      <c r="L246" s="288"/>
      <c r="M246" s="288"/>
      <c r="N246" s="288"/>
      <c r="O246" s="104"/>
      <c r="P246" s="288"/>
      <c r="Q246" s="288"/>
      <c r="R246" s="288"/>
      <c r="S246" s="288"/>
      <c r="T246" s="288"/>
      <c r="U246" s="288"/>
      <c r="V246" s="288"/>
      <c r="W246" s="288"/>
      <c r="X246" s="104"/>
      <c r="Y246" s="288"/>
      <c r="Z246" s="288"/>
      <c r="AA246" s="288"/>
      <c r="AB246" s="288"/>
      <c r="AC246" s="288"/>
      <c r="AD246" s="288"/>
      <c r="AE246" s="288"/>
      <c r="AF246" s="288"/>
      <c r="AG246" s="104"/>
      <c r="AH246" s="104"/>
      <c r="AI246" s="296"/>
      <c r="AJ246" s="296"/>
      <c r="AK246" s="296"/>
      <c r="AL246" s="296"/>
      <c r="AM246" s="296"/>
      <c r="AN246" s="296"/>
      <c r="AO246" s="296"/>
      <c r="AP246" s="296"/>
      <c r="AQ246" s="104"/>
      <c r="AR246" s="296"/>
      <c r="AS246" s="296"/>
      <c r="AT246" s="296"/>
      <c r="AU246" s="296"/>
      <c r="AV246" s="296"/>
      <c r="AW246" s="296"/>
      <c r="AX246" s="296"/>
      <c r="AY246" s="296"/>
      <c r="BA246" s="296"/>
      <c r="BB246" s="296"/>
      <c r="BC246" s="296"/>
      <c r="BD246" s="296"/>
      <c r="BE246" s="296"/>
      <c r="BF246" s="296"/>
      <c r="BG246" s="296"/>
      <c r="BH246" s="296"/>
      <c r="BI246" s="104"/>
      <c r="BJ246" s="296"/>
      <c r="BK246" s="296"/>
      <c r="BL246" s="296"/>
      <c r="BM246" s="296"/>
      <c r="BN246" s="296"/>
      <c r="BO246" s="296"/>
      <c r="BP246" s="296"/>
      <c r="BQ246" s="296"/>
      <c r="BS246" s="296"/>
      <c r="BT246" s="296"/>
      <c r="BU246" s="296"/>
      <c r="BV246" s="296"/>
      <c r="BW246" s="296"/>
      <c r="BX246" s="296"/>
      <c r="BY246" s="296"/>
      <c r="BZ246" s="296"/>
      <c r="CA246" s="104"/>
      <c r="CB246" s="296"/>
      <c r="CC246" s="296"/>
      <c r="CD246" s="296"/>
      <c r="CE246" s="296"/>
      <c r="CF246" s="296"/>
      <c r="CG246" s="296"/>
      <c r="CH246" s="296"/>
      <c r="CI246" s="296"/>
      <c r="CJ246" s="104"/>
      <c r="CK246" s="104"/>
      <c r="CL246" s="104"/>
      <c r="CM246" s="104"/>
      <c r="CN246" s="104"/>
      <c r="CO246" s="104"/>
    </row>
    <row r="247" spans="3:93" ht="12" customHeight="1" x14ac:dyDescent="0.25">
      <c r="C247" s="288"/>
      <c r="D247" s="288"/>
      <c r="E247" s="288"/>
      <c r="F247" s="288"/>
      <c r="G247" s="288"/>
      <c r="H247" s="104"/>
      <c r="I247" s="288"/>
      <c r="J247" s="288"/>
      <c r="K247" s="288"/>
      <c r="L247" s="288"/>
      <c r="M247" s="288"/>
      <c r="N247" s="288"/>
      <c r="O247" s="104"/>
      <c r="P247" s="288"/>
      <c r="Q247" s="288"/>
      <c r="R247" s="288"/>
      <c r="S247" s="288"/>
      <c r="T247" s="288"/>
      <c r="U247" s="288"/>
      <c r="V247" s="288"/>
      <c r="W247" s="288"/>
      <c r="X247" s="104"/>
      <c r="Y247" s="288"/>
      <c r="Z247" s="288"/>
      <c r="AA247" s="288"/>
      <c r="AB247" s="288"/>
      <c r="AC247" s="288"/>
      <c r="AD247" s="288"/>
      <c r="AE247" s="288"/>
      <c r="AF247" s="288"/>
      <c r="AG247" s="104"/>
      <c r="AH247" s="104"/>
      <c r="AI247" s="296"/>
      <c r="AJ247" s="296"/>
      <c r="AK247" s="296"/>
      <c r="AL247" s="296"/>
      <c r="AM247" s="296"/>
      <c r="AN247" s="296"/>
      <c r="AO247" s="296"/>
      <c r="AP247" s="296"/>
      <c r="AQ247" s="104"/>
      <c r="AR247" s="296"/>
      <c r="AS247" s="296"/>
      <c r="AT247" s="296"/>
      <c r="AU247" s="296"/>
      <c r="AV247" s="296"/>
      <c r="AW247" s="296"/>
      <c r="AX247" s="296"/>
      <c r="AY247" s="296"/>
      <c r="BA247" s="296"/>
      <c r="BB247" s="296"/>
      <c r="BC247" s="296"/>
      <c r="BD247" s="296"/>
      <c r="BE247" s="296"/>
      <c r="BF247" s="296"/>
      <c r="BG247" s="296"/>
      <c r="BH247" s="296"/>
      <c r="BI247" s="104"/>
      <c r="BJ247" s="296"/>
      <c r="BK247" s="296"/>
      <c r="BL247" s="296"/>
      <c r="BM247" s="296"/>
      <c r="BN247" s="296"/>
      <c r="BO247" s="296"/>
      <c r="BP247" s="296"/>
      <c r="BQ247" s="296"/>
      <c r="BS247" s="296"/>
      <c r="BT247" s="296"/>
      <c r="BU247" s="296"/>
      <c r="BV247" s="296"/>
      <c r="BW247" s="296"/>
      <c r="BX247" s="296"/>
      <c r="BY247" s="296"/>
      <c r="BZ247" s="296"/>
      <c r="CA247" s="104"/>
      <c r="CB247" s="296"/>
      <c r="CC247" s="296"/>
      <c r="CD247" s="296"/>
      <c r="CE247" s="296"/>
      <c r="CF247" s="296"/>
      <c r="CG247" s="296"/>
      <c r="CH247" s="296"/>
      <c r="CI247" s="296"/>
      <c r="CJ247" s="104"/>
      <c r="CK247" s="104"/>
      <c r="CL247" s="104"/>
      <c r="CM247" s="104"/>
      <c r="CN247" s="104"/>
      <c r="CO247" s="104"/>
    </row>
    <row r="248" spans="3:93" ht="12" customHeight="1" x14ac:dyDescent="0.25">
      <c r="C248" s="288"/>
      <c r="D248" s="288"/>
      <c r="E248" s="288"/>
      <c r="F248" s="288"/>
      <c r="G248" s="288"/>
      <c r="H248" s="104"/>
      <c r="I248" s="288"/>
      <c r="J248" s="288"/>
      <c r="K248" s="288"/>
      <c r="L248" s="288"/>
      <c r="M248" s="288"/>
      <c r="N248" s="288"/>
      <c r="O248" s="104"/>
      <c r="P248" s="288"/>
      <c r="Q248" s="288"/>
      <c r="R248" s="288"/>
      <c r="S248" s="288"/>
      <c r="T248" s="288"/>
      <c r="U248" s="288"/>
      <c r="V248" s="288"/>
      <c r="W248" s="288"/>
      <c r="X248" s="104"/>
      <c r="Y248" s="288"/>
      <c r="Z248" s="288"/>
      <c r="AA248" s="288"/>
      <c r="AB248" s="288"/>
      <c r="AC248" s="288"/>
      <c r="AD248" s="288"/>
      <c r="AE248" s="288"/>
      <c r="AF248" s="288"/>
      <c r="AG248" s="104"/>
      <c r="AH248" s="104"/>
      <c r="AI248" s="296"/>
      <c r="AJ248" s="296"/>
      <c r="AK248" s="296"/>
      <c r="AL248" s="296"/>
      <c r="AM248" s="296"/>
      <c r="AN248" s="296"/>
      <c r="AO248" s="296"/>
      <c r="AP248" s="296"/>
      <c r="AQ248" s="104"/>
      <c r="AR248" s="296"/>
      <c r="AS248" s="296"/>
      <c r="AT248" s="296"/>
      <c r="AU248" s="296"/>
      <c r="AV248" s="296"/>
      <c r="AW248" s="296"/>
      <c r="AX248" s="296"/>
      <c r="AY248" s="296"/>
      <c r="BA248" s="296"/>
      <c r="BB248" s="296"/>
      <c r="BC248" s="296"/>
      <c r="BD248" s="296"/>
      <c r="BE248" s="296"/>
      <c r="BF248" s="296"/>
      <c r="BG248" s="296"/>
      <c r="BH248" s="296"/>
      <c r="BI248" s="104"/>
      <c r="BJ248" s="296"/>
      <c r="BK248" s="296"/>
      <c r="BL248" s="296"/>
      <c r="BM248" s="296"/>
      <c r="BN248" s="296"/>
      <c r="BO248" s="296"/>
      <c r="BP248" s="296"/>
      <c r="BQ248" s="296"/>
      <c r="BS248" s="296"/>
      <c r="BT248" s="296"/>
      <c r="BU248" s="296"/>
      <c r="BV248" s="296"/>
      <c r="BW248" s="296"/>
      <c r="BX248" s="296"/>
      <c r="BY248" s="296"/>
      <c r="BZ248" s="296"/>
      <c r="CA248" s="104"/>
      <c r="CB248" s="296"/>
      <c r="CC248" s="296"/>
      <c r="CD248" s="296"/>
      <c r="CE248" s="296"/>
      <c r="CF248" s="296"/>
      <c r="CG248" s="296"/>
      <c r="CH248" s="296"/>
      <c r="CI248" s="296"/>
      <c r="CJ248" s="104"/>
      <c r="CK248" s="104"/>
      <c r="CL248" s="104"/>
      <c r="CM248" s="104"/>
      <c r="CN248" s="104"/>
      <c r="CO248" s="104"/>
    </row>
    <row r="249" spans="3:93" ht="12" customHeight="1" x14ac:dyDescent="0.25">
      <c r="C249" s="288"/>
      <c r="D249" s="288"/>
      <c r="E249" s="288"/>
      <c r="F249" s="288"/>
      <c r="G249" s="288"/>
      <c r="H249" s="104"/>
      <c r="I249" s="288"/>
      <c r="J249" s="288"/>
      <c r="K249" s="288"/>
      <c r="L249" s="288"/>
      <c r="M249" s="288"/>
      <c r="N249" s="288"/>
      <c r="O249" s="104"/>
      <c r="P249" s="288"/>
      <c r="Q249" s="288"/>
      <c r="R249" s="288"/>
      <c r="S249" s="288"/>
      <c r="T249" s="288"/>
      <c r="U249" s="288"/>
      <c r="V249" s="288"/>
      <c r="W249" s="288"/>
      <c r="X249" s="104"/>
      <c r="Y249" s="288"/>
      <c r="Z249" s="288"/>
      <c r="AA249" s="288"/>
      <c r="AB249" s="288"/>
      <c r="AC249" s="288"/>
      <c r="AD249" s="288"/>
      <c r="AE249" s="288"/>
      <c r="AF249" s="288"/>
      <c r="AG249" s="104"/>
      <c r="AH249" s="104"/>
      <c r="AI249" s="296"/>
      <c r="AJ249" s="296"/>
      <c r="AK249" s="296"/>
      <c r="AL249" s="296"/>
      <c r="AM249" s="296"/>
      <c r="AN249" s="296"/>
      <c r="AO249" s="296"/>
      <c r="AP249" s="296"/>
      <c r="AQ249" s="104"/>
      <c r="AR249" s="296"/>
      <c r="AS249" s="296"/>
      <c r="AT249" s="296"/>
      <c r="AU249" s="296"/>
      <c r="AV249" s="296"/>
      <c r="AW249" s="296"/>
      <c r="AX249" s="296"/>
      <c r="AY249" s="296"/>
      <c r="BA249" s="296"/>
      <c r="BB249" s="296"/>
      <c r="BC249" s="296"/>
      <c r="BD249" s="296"/>
      <c r="BE249" s="296"/>
      <c r="BF249" s="296"/>
      <c r="BG249" s="296"/>
      <c r="BH249" s="296"/>
      <c r="BI249" s="104"/>
      <c r="BJ249" s="296"/>
      <c r="BK249" s="296"/>
      <c r="BL249" s="296"/>
      <c r="BM249" s="296"/>
      <c r="BN249" s="296"/>
      <c r="BO249" s="296"/>
      <c r="BP249" s="296"/>
      <c r="BQ249" s="296"/>
      <c r="BS249" s="296"/>
      <c r="BT249" s="296"/>
      <c r="BU249" s="296"/>
      <c r="BV249" s="296"/>
      <c r="BW249" s="296"/>
      <c r="BX249" s="296"/>
      <c r="BY249" s="296"/>
      <c r="BZ249" s="296"/>
      <c r="CA249" s="104"/>
      <c r="CB249" s="296"/>
      <c r="CC249" s="296"/>
      <c r="CD249" s="296"/>
      <c r="CE249" s="296"/>
      <c r="CF249" s="296"/>
      <c r="CG249" s="296"/>
      <c r="CH249" s="296"/>
      <c r="CI249" s="296"/>
      <c r="CJ249" s="104"/>
      <c r="CK249" s="104"/>
      <c r="CL249" s="104"/>
      <c r="CM249" s="104"/>
      <c r="CN249" s="104"/>
      <c r="CO249" s="104"/>
    </row>
    <row r="250" spans="3:93" ht="12" customHeight="1" x14ac:dyDescent="0.25">
      <c r="C250" s="288"/>
      <c r="D250" s="288"/>
      <c r="E250" s="288"/>
      <c r="F250" s="288"/>
      <c r="G250" s="288"/>
      <c r="H250" s="104"/>
      <c r="I250" s="288"/>
      <c r="J250" s="288"/>
      <c r="K250" s="288"/>
      <c r="L250" s="288"/>
      <c r="M250" s="288"/>
      <c r="N250" s="288"/>
      <c r="O250" s="104"/>
      <c r="P250" s="288"/>
      <c r="Q250" s="288"/>
      <c r="R250" s="288"/>
      <c r="S250" s="288"/>
      <c r="T250" s="288"/>
      <c r="U250" s="288"/>
      <c r="V250" s="288"/>
      <c r="W250" s="288"/>
      <c r="X250" s="104"/>
      <c r="Y250" s="288"/>
      <c r="Z250" s="288"/>
      <c r="AA250" s="288"/>
      <c r="AB250" s="288"/>
      <c r="AC250" s="288"/>
      <c r="AD250" s="288"/>
      <c r="AE250" s="288"/>
      <c r="AF250" s="288"/>
      <c r="AG250" s="104"/>
      <c r="AH250" s="104"/>
      <c r="AI250" s="296"/>
      <c r="AJ250" s="296"/>
      <c r="AK250" s="296"/>
      <c r="AL250" s="296"/>
      <c r="AM250" s="296"/>
      <c r="AN250" s="296"/>
      <c r="AO250" s="296"/>
      <c r="AP250" s="296"/>
      <c r="AQ250" s="104"/>
      <c r="AR250" s="296"/>
      <c r="AS250" s="296"/>
      <c r="AT250" s="296"/>
      <c r="AU250" s="296"/>
      <c r="AV250" s="296"/>
      <c r="AW250" s="296"/>
      <c r="AX250" s="296"/>
      <c r="AY250" s="296"/>
      <c r="BA250" s="296"/>
      <c r="BB250" s="296"/>
      <c r="BC250" s="296"/>
      <c r="BD250" s="296"/>
      <c r="BE250" s="296"/>
      <c r="BF250" s="296"/>
      <c r="BG250" s="296"/>
      <c r="BH250" s="296"/>
      <c r="BI250" s="104"/>
      <c r="BJ250" s="296"/>
      <c r="BK250" s="296"/>
      <c r="BL250" s="296"/>
      <c r="BM250" s="296"/>
      <c r="BN250" s="296"/>
      <c r="BO250" s="296"/>
      <c r="BP250" s="296"/>
      <c r="BQ250" s="296"/>
      <c r="BS250" s="296"/>
      <c r="BT250" s="296"/>
      <c r="BU250" s="296"/>
      <c r="BV250" s="296"/>
      <c r="BW250" s="296"/>
      <c r="BX250" s="296"/>
      <c r="BY250" s="296"/>
      <c r="BZ250" s="296"/>
      <c r="CA250" s="104"/>
      <c r="CB250" s="296"/>
      <c r="CC250" s="296"/>
      <c r="CD250" s="296"/>
      <c r="CE250" s="296"/>
      <c r="CF250" s="296"/>
      <c r="CG250" s="296"/>
      <c r="CH250" s="296"/>
      <c r="CI250" s="296"/>
      <c r="CJ250" s="104"/>
      <c r="CK250" s="104"/>
      <c r="CL250" s="104"/>
      <c r="CM250" s="104"/>
      <c r="CN250" s="104"/>
      <c r="CO250" s="104"/>
    </row>
    <row r="251" spans="3:93" ht="12" customHeight="1" x14ac:dyDescent="0.25">
      <c r="C251" s="288"/>
      <c r="D251" s="288"/>
      <c r="E251" s="288"/>
      <c r="F251" s="288"/>
      <c r="G251" s="288"/>
      <c r="H251" s="104"/>
      <c r="I251" s="288"/>
      <c r="J251" s="288"/>
      <c r="K251" s="288"/>
      <c r="L251" s="288"/>
      <c r="M251" s="288"/>
      <c r="N251" s="288"/>
      <c r="O251" s="104"/>
      <c r="P251" s="288"/>
      <c r="Q251" s="288"/>
      <c r="R251" s="288"/>
      <c r="S251" s="288"/>
      <c r="T251" s="288"/>
      <c r="U251" s="288"/>
      <c r="V251" s="288"/>
      <c r="W251" s="288"/>
      <c r="X251" s="104"/>
      <c r="Y251" s="288"/>
      <c r="Z251" s="288"/>
      <c r="AA251" s="288"/>
      <c r="AB251" s="288"/>
      <c r="AC251" s="288"/>
      <c r="AD251" s="288"/>
      <c r="AE251" s="288"/>
      <c r="AF251" s="288"/>
      <c r="AG251" s="104"/>
      <c r="AH251" s="104"/>
      <c r="AI251" s="296"/>
      <c r="AJ251" s="296"/>
      <c r="AK251" s="296"/>
      <c r="AL251" s="296"/>
      <c r="AM251" s="296"/>
      <c r="AN251" s="296"/>
      <c r="AO251" s="296"/>
      <c r="AP251" s="296"/>
      <c r="AQ251" s="104"/>
      <c r="AR251" s="296"/>
      <c r="AS251" s="296"/>
      <c r="AT251" s="296"/>
      <c r="AU251" s="296"/>
      <c r="AV251" s="296"/>
      <c r="AW251" s="296"/>
      <c r="AX251" s="296"/>
      <c r="AY251" s="296"/>
      <c r="BA251" s="296"/>
      <c r="BB251" s="296"/>
      <c r="BC251" s="296"/>
      <c r="BD251" s="296"/>
      <c r="BE251" s="296"/>
      <c r="BF251" s="296"/>
      <c r="BG251" s="296"/>
      <c r="BH251" s="296"/>
      <c r="BI251" s="104"/>
      <c r="BJ251" s="296"/>
      <c r="BK251" s="296"/>
      <c r="BL251" s="296"/>
      <c r="BM251" s="296"/>
      <c r="BN251" s="296"/>
      <c r="BO251" s="296"/>
      <c r="BP251" s="296"/>
      <c r="BQ251" s="296"/>
      <c r="BS251" s="296"/>
      <c r="BT251" s="296"/>
      <c r="BU251" s="296"/>
      <c r="BV251" s="296"/>
      <c r="BW251" s="296"/>
      <c r="BX251" s="296"/>
      <c r="BY251" s="296"/>
      <c r="BZ251" s="296"/>
      <c r="CA251" s="104"/>
      <c r="CB251" s="296"/>
      <c r="CC251" s="296"/>
      <c r="CD251" s="296"/>
      <c r="CE251" s="296"/>
      <c r="CF251" s="296"/>
      <c r="CG251" s="296"/>
      <c r="CH251" s="296"/>
      <c r="CI251" s="296"/>
      <c r="CJ251" s="104"/>
      <c r="CK251" s="104"/>
      <c r="CL251" s="104"/>
      <c r="CM251" s="104"/>
      <c r="CN251" s="104"/>
      <c r="CO251" s="104"/>
    </row>
    <row r="252" spans="3:93" ht="12" customHeight="1" x14ac:dyDescent="0.25">
      <c r="C252" s="288"/>
      <c r="D252" s="288"/>
      <c r="E252" s="288"/>
      <c r="F252" s="288"/>
      <c r="G252" s="288"/>
      <c r="H252" s="104"/>
      <c r="I252" s="288"/>
      <c r="J252" s="288"/>
      <c r="K252" s="288"/>
      <c r="L252" s="288"/>
      <c r="M252" s="288"/>
      <c r="N252" s="288"/>
      <c r="O252" s="104"/>
      <c r="P252" s="288"/>
      <c r="Q252" s="288"/>
      <c r="R252" s="288"/>
      <c r="S252" s="288"/>
      <c r="T252" s="288"/>
      <c r="U252" s="288"/>
      <c r="V252" s="288"/>
      <c r="W252" s="288"/>
      <c r="X252" s="104"/>
      <c r="Y252" s="288"/>
      <c r="Z252" s="288"/>
      <c r="AA252" s="288"/>
      <c r="AB252" s="288"/>
      <c r="AC252" s="288"/>
      <c r="AD252" s="288"/>
      <c r="AE252" s="288"/>
      <c r="AF252" s="288"/>
      <c r="AG252" s="104"/>
      <c r="AH252" s="104"/>
      <c r="AI252" s="296"/>
      <c r="AJ252" s="296"/>
      <c r="AK252" s="296"/>
      <c r="AL252" s="296"/>
      <c r="AM252" s="296"/>
      <c r="AN252" s="296"/>
      <c r="AO252" s="296"/>
      <c r="AP252" s="296"/>
      <c r="AQ252" s="104"/>
      <c r="AR252" s="296"/>
      <c r="AS252" s="296"/>
      <c r="AT252" s="296"/>
      <c r="AU252" s="296"/>
      <c r="AV252" s="296"/>
      <c r="AW252" s="296"/>
      <c r="AX252" s="296"/>
      <c r="AY252" s="296"/>
      <c r="BA252" s="296"/>
      <c r="BB252" s="296"/>
      <c r="BC252" s="296"/>
      <c r="BD252" s="296"/>
      <c r="BE252" s="296"/>
      <c r="BF252" s="296"/>
      <c r="BG252" s="296"/>
      <c r="BH252" s="296"/>
      <c r="BI252" s="104"/>
      <c r="BJ252" s="296"/>
      <c r="BK252" s="296"/>
      <c r="BL252" s="296"/>
      <c r="BM252" s="296"/>
      <c r="BN252" s="296"/>
      <c r="BO252" s="296"/>
      <c r="BP252" s="296"/>
      <c r="BQ252" s="296"/>
      <c r="BS252" s="296"/>
      <c r="BT252" s="296"/>
      <c r="BU252" s="296"/>
      <c r="BV252" s="296"/>
      <c r="BW252" s="296"/>
      <c r="BX252" s="296"/>
      <c r="BY252" s="296"/>
      <c r="BZ252" s="296"/>
      <c r="CA252" s="104"/>
      <c r="CB252" s="296"/>
      <c r="CC252" s="296"/>
      <c r="CD252" s="296"/>
      <c r="CE252" s="296"/>
      <c r="CF252" s="296"/>
      <c r="CG252" s="296"/>
      <c r="CH252" s="296"/>
      <c r="CI252" s="296"/>
      <c r="CJ252" s="104"/>
      <c r="CK252" s="104"/>
      <c r="CL252" s="104"/>
      <c r="CM252" s="104"/>
      <c r="CN252" s="104"/>
      <c r="CO252" s="104"/>
    </row>
    <row r="253" spans="3:93" ht="12" customHeight="1" x14ac:dyDescent="0.25">
      <c r="C253" s="288"/>
      <c r="D253" s="288"/>
      <c r="E253" s="288"/>
      <c r="F253" s="288"/>
      <c r="G253" s="288"/>
      <c r="H253" s="104"/>
      <c r="I253" s="288"/>
      <c r="J253" s="288"/>
      <c r="K253" s="288"/>
      <c r="L253" s="288"/>
      <c r="M253" s="288"/>
      <c r="N253" s="288"/>
      <c r="O253" s="104"/>
      <c r="P253" s="288"/>
      <c r="Q253" s="288"/>
      <c r="R253" s="288"/>
      <c r="S253" s="288"/>
      <c r="T253" s="288"/>
      <c r="U253" s="288"/>
      <c r="V253" s="288"/>
      <c r="W253" s="288"/>
      <c r="X253" s="104"/>
      <c r="Y253" s="288"/>
      <c r="Z253" s="288"/>
      <c r="AA253" s="288"/>
      <c r="AB253" s="288"/>
      <c r="AC253" s="288"/>
      <c r="AD253" s="288"/>
      <c r="AE253" s="288"/>
      <c r="AF253" s="288"/>
      <c r="AG253" s="104"/>
      <c r="AH253" s="104"/>
      <c r="AI253" s="296"/>
      <c r="AJ253" s="296"/>
      <c r="AK253" s="296"/>
      <c r="AL253" s="296"/>
      <c r="AM253" s="296"/>
      <c r="AN253" s="296"/>
      <c r="AO253" s="296"/>
      <c r="AP253" s="296"/>
      <c r="AQ253" s="104"/>
      <c r="AR253" s="296"/>
      <c r="AS253" s="296"/>
      <c r="AT253" s="296"/>
      <c r="AU253" s="296"/>
      <c r="AV253" s="296"/>
      <c r="AW253" s="296"/>
      <c r="AX253" s="296"/>
      <c r="AY253" s="296"/>
      <c r="BA253" s="296"/>
      <c r="BB253" s="296"/>
      <c r="BC253" s="296"/>
      <c r="BD253" s="296"/>
      <c r="BE253" s="296"/>
      <c r="BF253" s="296"/>
      <c r="BG253" s="296"/>
      <c r="BH253" s="296"/>
      <c r="BI253" s="104"/>
      <c r="BJ253" s="296"/>
      <c r="BK253" s="296"/>
      <c r="BL253" s="296"/>
      <c r="BM253" s="296"/>
      <c r="BN253" s="296"/>
      <c r="BO253" s="296"/>
      <c r="BP253" s="296"/>
      <c r="BQ253" s="296"/>
      <c r="BS253" s="296"/>
      <c r="BT253" s="296"/>
      <c r="BU253" s="296"/>
      <c r="BV253" s="296"/>
      <c r="BW253" s="296"/>
      <c r="BX253" s="296"/>
      <c r="BY253" s="296"/>
      <c r="BZ253" s="296"/>
      <c r="CA253" s="104"/>
      <c r="CB253" s="296"/>
      <c r="CC253" s="296"/>
      <c r="CD253" s="296"/>
      <c r="CE253" s="296"/>
      <c r="CF253" s="296"/>
      <c r="CG253" s="296"/>
      <c r="CH253" s="296"/>
      <c r="CI253" s="296"/>
      <c r="CJ253" s="104"/>
      <c r="CK253" s="104"/>
      <c r="CL253" s="104"/>
      <c r="CM253" s="104"/>
      <c r="CN253" s="104"/>
      <c r="CO253" s="104"/>
    </row>
    <row r="254" spans="3:93" ht="12" customHeight="1" x14ac:dyDescent="0.25">
      <c r="C254" s="288"/>
      <c r="D254" s="288"/>
      <c r="E254" s="288"/>
      <c r="F254" s="288"/>
      <c r="G254" s="288"/>
      <c r="H254" s="104"/>
      <c r="I254" s="288"/>
      <c r="J254" s="288"/>
      <c r="K254" s="288"/>
      <c r="L254" s="288"/>
      <c r="M254" s="288"/>
      <c r="N254" s="288"/>
      <c r="O254" s="104"/>
      <c r="P254" s="288"/>
      <c r="Q254" s="288"/>
      <c r="R254" s="288"/>
      <c r="S254" s="288"/>
      <c r="T254" s="288"/>
      <c r="U254" s="288"/>
      <c r="V254" s="288"/>
      <c r="W254" s="288"/>
      <c r="X254" s="104"/>
      <c r="Y254" s="288"/>
      <c r="Z254" s="288"/>
      <c r="AA254" s="288"/>
      <c r="AB254" s="288"/>
      <c r="AC254" s="288"/>
      <c r="AD254" s="288"/>
      <c r="AE254" s="288"/>
      <c r="AF254" s="288"/>
      <c r="AG254" s="104"/>
      <c r="AH254" s="104"/>
      <c r="AI254" s="296"/>
      <c r="AJ254" s="296"/>
      <c r="AK254" s="296"/>
      <c r="AL254" s="296"/>
      <c r="AM254" s="296"/>
      <c r="AN254" s="296"/>
      <c r="AO254" s="296"/>
      <c r="AP254" s="296"/>
      <c r="AQ254" s="104"/>
      <c r="AR254" s="296"/>
      <c r="AS254" s="296"/>
      <c r="AT254" s="296"/>
      <c r="AU254" s="296"/>
      <c r="AV254" s="296"/>
      <c r="AW254" s="296"/>
      <c r="AX254" s="296"/>
      <c r="AY254" s="296"/>
      <c r="BA254" s="296"/>
      <c r="BB254" s="296"/>
      <c r="BC254" s="296"/>
      <c r="BD254" s="296"/>
      <c r="BE254" s="296"/>
      <c r="BF254" s="296"/>
      <c r="BG254" s="296"/>
      <c r="BH254" s="296"/>
      <c r="BI254" s="104"/>
      <c r="BJ254" s="296"/>
      <c r="BK254" s="296"/>
      <c r="BL254" s="296"/>
      <c r="BM254" s="296"/>
      <c r="BN254" s="296"/>
      <c r="BO254" s="296"/>
      <c r="BP254" s="296"/>
      <c r="BQ254" s="296"/>
      <c r="BS254" s="296"/>
      <c r="BT254" s="296"/>
      <c r="BU254" s="296"/>
      <c r="BV254" s="296"/>
      <c r="BW254" s="296"/>
      <c r="BX254" s="296"/>
      <c r="BY254" s="296"/>
      <c r="BZ254" s="296"/>
      <c r="CA254" s="104"/>
      <c r="CB254" s="296"/>
      <c r="CC254" s="296"/>
      <c r="CD254" s="296"/>
      <c r="CE254" s="296"/>
      <c r="CF254" s="296"/>
      <c r="CG254" s="296"/>
      <c r="CH254" s="296"/>
      <c r="CI254" s="296"/>
      <c r="CJ254" s="104"/>
      <c r="CK254" s="104"/>
      <c r="CL254" s="104"/>
      <c r="CM254" s="104"/>
      <c r="CN254" s="104"/>
      <c r="CO254" s="104"/>
    </row>
    <row r="255" spans="3:93" ht="12" customHeight="1" x14ac:dyDescent="0.25">
      <c r="C255" s="288"/>
      <c r="D255" s="288"/>
      <c r="E255" s="288"/>
      <c r="F255" s="288"/>
      <c r="G255" s="288"/>
      <c r="H255" s="104"/>
      <c r="I255" s="288"/>
      <c r="J255" s="288"/>
      <c r="K255" s="288"/>
      <c r="L255" s="288"/>
      <c r="M255" s="288"/>
      <c r="N255" s="288"/>
      <c r="O255" s="104"/>
      <c r="P255" s="288"/>
      <c r="Q255" s="288"/>
      <c r="R255" s="288"/>
      <c r="S255" s="288"/>
      <c r="T255" s="288"/>
      <c r="U255" s="288"/>
      <c r="V255" s="288"/>
      <c r="W255" s="288"/>
      <c r="X255" s="104"/>
      <c r="Y255" s="288"/>
      <c r="Z255" s="288"/>
      <c r="AA255" s="288"/>
      <c r="AB255" s="288"/>
      <c r="AC255" s="288"/>
      <c r="AD255" s="288"/>
      <c r="AE255" s="288"/>
      <c r="AF255" s="288"/>
      <c r="AG255" s="104"/>
      <c r="AH255" s="104"/>
      <c r="AI255" s="296"/>
      <c r="AJ255" s="296"/>
      <c r="AK255" s="296"/>
      <c r="AL255" s="296"/>
      <c r="AM255" s="296"/>
      <c r="AN255" s="296"/>
      <c r="AO255" s="296"/>
      <c r="AP255" s="296"/>
      <c r="AQ255" s="104"/>
      <c r="AR255" s="296"/>
      <c r="AS255" s="296"/>
      <c r="AT255" s="296"/>
      <c r="AU255" s="296"/>
      <c r="AV255" s="296"/>
      <c r="AW255" s="296"/>
      <c r="AX255" s="296"/>
      <c r="AY255" s="296"/>
      <c r="BA255" s="296"/>
      <c r="BB255" s="296"/>
      <c r="BC255" s="296"/>
      <c r="BD255" s="296"/>
      <c r="BE255" s="296"/>
      <c r="BF255" s="296"/>
      <c r="BG255" s="296"/>
      <c r="BH255" s="296"/>
      <c r="BI255" s="104"/>
      <c r="BJ255" s="296"/>
      <c r="BK255" s="296"/>
      <c r="BL255" s="296"/>
      <c r="BM255" s="296"/>
      <c r="BN255" s="296"/>
      <c r="BO255" s="296"/>
      <c r="BP255" s="296"/>
      <c r="BQ255" s="296"/>
      <c r="BS255" s="296"/>
      <c r="BT255" s="296"/>
      <c r="BU255" s="296"/>
      <c r="BV255" s="296"/>
      <c r="BW255" s="296"/>
      <c r="BX255" s="296"/>
      <c r="BY255" s="296"/>
      <c r="BZ255" s="296"/>
      <c r="CA255" s="104"/>
      <c r="CB255" s="296"/>
      <c r="CC255" s="296"/>
      <c r="CD255" s="296"/>
      <c r="CE255" s="296"/>
      <c r="CF255" s="296"/>
      <c r="CG255" s="296"/>
      <c r="CH255" s="296"/>
      <c r="CI255" s="296"/>
      <c r="CJ255" s="104"/>
      <c r="CK255" s="104"/>
      <c r="CL255" s="104"/>
      <c r="CM255" s="104"/>
      <c r="CN255" s="104"/>
      <c r="CO255" s="104"/>
    </row>
    <row r="256" spans="3:93" ht="12" customHeight="1" x14ac:dyDescent="0.25">
      <c r="C256" s="288"/>
      <c r="D256" s="288"/>
      <c r="E256" s="288"/>
      <c r="F256" s="288"/>
      <c r="G256" s="288"/>
      <c r="H256" s="104"/>
      <c r="I256" s="288"/>
      <c r="J256" s="288"/>
      <c r="K256" s="288"/>
      <c r="L256" s="288"/>
      <c r="M256" s="288"/>
      <c r="N256" s="288"/>
      <c r="O256" s="104"/>
      <c r="P256" s="288"/>
      <c r="Q256" s="288"/>
      <c r="R256" s="288"/>
      <c r="S256" s="288"/>
      <c r="T256" s="288"/>
      <c r="U256" s="288"/>
      <c r="V256" s="288"/>
      <c r="W256" s="288"/>
      <c r="X256" s="104"/>
      <c r="Y256" s="288"/>
      <c r="Z256" s="288"/>
      <c r="AA256" s="288"/>
      <c r="AB256" s="288"/>
      <c r="AC256" s="288"/>
      <c r="AD256" s="288"/>
      <c r="AE256" s="288"/>
      <c r="AF256" s="288"/>
      <c r="AG256" s="104"/>
      <c r="AH256" s="104"/>
      <c r="AI256" s="296"/>
      <c r="AJ256" s="296"/>
      <c r="AK256" s="296"/>
      <c r="AL256" s="296"/>
      <c r="AM256" s="296"/>
      <c r="AN256" s="296"/>
      <c r="AO256" s="296"/>
      <c r="AP256" s="296"/>
      <c r="AQ256" s="104"/>
      <c r="AR256" s="296"/>
      <c r="AS256" s="296"/>
      <c r="AT256" s="296"/>
      <c r="AU256" s="296"/>
      <c r="AV256" s="296"/>
      <c r="AW256" s="296"/>
      <c r="AX256" s="296"/>
      <c r="AY256" s="296"/>
      <c r="BA256" s="296"/>
      <c r="BB256" s="296"/>
      <c r="BC256" s="296"/>
      <c r="BD256" s="296"/>
      <c r="BE256" s="296"/>
      <c r="BF256" s="296"/>
      <c r="BG256" s="296"/>
      <c r="BH256" s="296"/>
      <c r="BI256" s="104"/>
      <c r="BJ256" s="296"/>
      <c r="BK256" s="296"/>
      <c r="BL256" s="296"/>
      <c r="BM256" s="296"/>
      <c r="BN256" s="296"/>
      <c r="BO256" s="296"/>
      <c r="BP256" s="296"/>
      <c r="BQ256" s="296"/>
      <c r="BS256" s="296"/>
      <c r="BT256" s="296"/>
      <c r="BU256" s="296"/>
      <c r="BV256" s="296"/>
      <c r="BW256" s="296"/>
      <c r="BX256" s="296"/>
      <c r="BY256" s="296"/>
      <c r="BZ256" s="296"/>
      <c r="CA256" s="104"/>
      <c r="CB256" s="296"/>
      <c r="CC256" s="296"/>
      <c r="CD256" s="296"/>
      <c r="CE256" s="296"/>
      <c r="CF256" s="296"/>
      <c r="CG256" s="296"/>
      <c r="CH256" s="296"/>
      <c r="CI256" s="296"/>
      <c r="CJ256" s="104"/>
      <c r="CK256" s="104"/>
      <c r="CL256" s="104"/>
      <c r="CM256" s="104"/>
      <c r="CN256" s="104"/>
      <c r="CO256" s="104"/>
    </row>
    <row r="257" spans="2:94" ht="12" customHeight="1" x14ac:dyDescent="0.25">
      <c r="C257" s="288"/>
      <c r="D257" s="288"/>
      <c r="E257" s="288"/>
      <c r="F257" s="288"/>
      <c r="G257" s="288"/>
      <c r="H257" s="104"/>
      <c r="I257" s="288"/>
      <c r="J257" s="288"/>
      <c r="K257" s="288"/>
      <c r="L257" s="288"/>
      <c r="M257" s="288"/>
      <c r="N257" s="288"/>
      <c r="O257" s="104"/>
      <c r="P257" s="288"/>
      <c r="Q257" s="288"/>
      <c r="R257" s="288"/>
      <c r="S257" s="288"/>
      <c r="T257" s="288"/>
      <c r="U257" s="288"/>
      <c r="V257" s="288"/>
      <c r="W257" s="288"/>
      <c r="X257" s="104"/>
      <c r="Y257" s="288"/>
      <c r="Z257" s="288"/>
      <c r="AA257" s="288"/>
      <c r="AB257" s="288"/>
      <c r="AC257" s="288"/>
      <c r="AD257" s="288"/>
      <c r="AE257" s="288"/>
      <c r="AF257" s="288"/>
      <c r="AG257" s="104"/>
      <c r="AH257" s="104"/>
      <c r="AI257" s="296"/>
      <c r="AJ257" s="296"/>
      <c r="AK257" s="296"/>
      <c r="AL257" s="296"/>
      <c r="AM257" s="296"/>
      <c r="AN257" s="296"/>
      <c r="AO257" s="296"/>
      <c r="AP257" s="296"/>
      <c r="AQ257" s="104"/>
      <c r="AR257" s="296"/>
      <c r="AS257" s="296"/>
      <c r="AT257" s="296"/>
      <c r="AU257" s="296"/>
      <c r="AV257" s="296"/>
      <c r="AW257" s="296"/>
      <c r="AX257" s="296"/>
      <c r="AY257" s="296"/>
      <c r="BA257" s="296"/>
      <c r="BB257" s="296"/>
      <c r="BC257" s="296"/>
      <c r="BD257" s="296"/>
      <c r="BE257" s="296"/>
      <c r="BF257" s="296"/>
      <c r="BG257" s="296"/>
      <c r="BH257" s="296"/>
      <c r="BI257" s="104"/>
      <c r="BJ257" s="296"/>
      <c r="BK257" s="296"/>
      <c r="BL257" s="296"/>
      <c r="BM257" s="296"/>
      <c r="BN257" s="296"/>
      <c r="BO257" s="296"/>
      <c r="BP257" s="296"/>
      <c r="BQ257" s="296"/>
      <c r="BS257" s="296"/>
      <c r="BT257" s="296"/>
      <c r="BU257" s="296"/>
      <c r="BV257" s="296"/>
      <c r="BW257" s="296"/>
      <c r="BX257" s="296"/>
      <c r="BY257" s="296"/>
      <c r="BZ257" s="296"/>
      <c r="CA257" s="104"/>
      <c r="CB257" s="296"/>
      <c r="CC257" s="296"/>
      <c r="CD257" s="296"/>
      <c r="CE257" s="296"/>
      <c r="CF257" s="296"/>
      <c r="CG257" s="296"/>
      <c r="CH257" s="296"/>
      <c r="CI257" s="296"/>
      <c r="CJ257" s="104"/>
      <c r="CK257" s="104"/>
      <c r="CL257" s="104"/>
      <c r="CM257" s="104"/>
      <c r="CN257" s="104"/>
      <c r="CO257" s="104"/>
    </row>
    <row r="258" spans="2:94" ht="12" customHeight="1" x14ac:dyDescent="0.25">
      <c r="C258" s="288"/>
      <c r="D258" s="288"/>
      <c r="E258" s="288"/>
      <c r="F258" s="288"/>
      <c r="G258" s="288"/>
      <c r="H258" s="104"/>
      <c r="I258" s="288"/>
      <c r="J258" s="288"/>
      <c r="K258" s="288"/>
      <c r="L258" s="288"/>
      <c r="M258" s="288"/>
      <c r="N258" s="288"/>
      <c r="O258" s="104"/>
      <c r="P258" s="288"/>
      <c r="Q258" s="288"/>
      <c r="R258" s="288"/>
      <c r="S258" s="288"/>
      <c r="T258" s="288"/>
      <c r="U258" s="288"/>
      <c r="V258" s="288"/>
      <c r="W258" s="288"/>
      <c r="X258" s="104"/>
      <c r="Y258" s="288"/>
      <c r="Z258" s="288"/>
      <c r="AA258" s="288"/>
      <c r="AB258" s="288"/>
      <c r="AC258" s="288"/>
      <c r="AD258" s="288"/>
      <c r="AE258" s="288"/>
      <c r="AF258" s="288"/>
      <c r="AG258" s="104"/>
      <c r="AH258" s="104"/>
      <c r="AI258" s="296"/>
      <c r="AJ258" s="296"/>
      <c r="AK258" s="296"/>
      <c r="AL258" s="296"/>
      <c r="AM258" s="296"/>
      <c r="AN258" s="296"/>
      <c r="AO258" s="296"/>
      <c r="AP258" s="296"/>
      <c r="AQ258" s="104"/>
      <c r="AR258" s="296"/>
      <c r="AS258" s="296"/>
      <c r="AT258" s="296"/>
      <c r="AU258" s="296"/>
      <c r="AV258" s="296"/>
      <c r="AW258" s="296"/>
      <c r="AX258" s="296"/>
      <c r="AY258" s="296"/>
      <c r="BA258" s="296"/>
      <c r="BB258" s="296"/>
      <c r="BC258" s="296"/>
      <c r="BD258" s="296"/>
      <c r="BE258" s="296"/>
      <c r="BF258" s="296"/>
      <c r="BG258" s="296"/>
      <c r="BH258" s="296"/>
      <c r="BI258" s="104"/>
      <c r="BJ258" s="296"/>
      <c r="BK258" s="296"/>
      <c r="BL258" s="296"/>
      <c r="BM258" s="296"/>
      <c r="BN258" s="296"/>
      <c r="BO258" s="296"/>
      <c r="BP258" s="296"/>
      <c r="BQ258" s="296"/>
      <c r="BS258" s="296"/>
      <c r="BT258" s="296"/>
      <c r="BU258" s="296"/>
      <c r="BV258" s="296"/>
      <c r="BW258" s="296"/>
      <c r="BX258" s="296"/>
      <c r="BY258" s="296"/>
      <c r="BZ258" s="296"/>
      <c r="CA258" s="104"/>
      <c r="CB258" s="296"/>
      <c r="CC258" s="296"/>
      <c r="CD258" s="296"/>
      <c r="CE258" s="296"/>
      <c r="CF258" s="296"/>
      <c r="CG258" s="296"/>
      <c r="CH258" s="296"/>
      <c r="CI258" s="296"/>
      <c r="CJ258" s="104"/>
      <c r="CK258" s="104"/>
      <c r="CL258" s="104"/>
      <c r="CM258" s="104"/>
      <c r="CN258" s="104"/>
      <c r="CO258" s="104"/>
    </row>
    <row r="259" spans="2:94" ht="12" customHeight="1" x14ac:dyDescent="0.25">
      <c r="C259" s="288"/>
      <c r="D259" s="288"/>
      <c r="E259" s="288"/>
      <c r="F259" s="288"/>
      <c r="G259" s="288"/>
      <c r="H259" s="104"/>
      <c r="I259" s="288"/>
      <c r="J259" s="288"/>
      <c r="K259" s="288"/>
      <c r="L259" s="288"/>
      <c r="M259" s="288"/>
      <c r="N259" s="288"/>
      <c r="O259" s="104"/>
      <c r="P259" s="288"/>
      <c r="Q259" s="288"/>
      <c r="R259" s="288"/>
      <c r="S259" s="288"/>
      <c r="T259" s="288"/>
      <c r="U259" s="288"/>
      <c r="V259" s="288"/>
      <c r="W259" s="288"/>
      <c r="X259" s="104"/>
      <c r="Y259" s="288"/>
      <c r="Z259" s="288"/>
      <c r="AA259" s="288"/>
      <c r="AB259" s="288"/>
      <c r="AC259" s="288"/>
      <c r="AD259" s="288"/>
      <c r="AE259" s="288"/>
      <c r="AF259" s="288"/>
      <c r="AG259" s="104"/>
      <c r="AH259" s="104"/>
      <c r="AI259" s="296"/>
      <c r="AJ259" s="296"/>
      <c r="AK259" s="296"/>
      <c r="AL259" s="296"/>
      <c r="AM259" s="296"/>
      <c r="AN259" s="296"/>
      <c r="AO259" s="296"/>
      <c r="AP259" s="296"/>
      <c r="AQ259" s="104"/>
      <c r="AR259" s="296"/>
      <c r="AS259" s="296"/>
      <c r="AT259" s="296"/>
      <c r="AU259" s="296"/>
      <c r="AV259" s="296"/>
      <c r="AW259" s="296"/>
      <c r="AX259" s="296"/>
      <c r="AY259" s="296"/>
      <c r="BA259" s="296"/>
      <c r="BB259" s="296"/>
      <c r="BC259" s="296"/>
      <c r="BD259" s="296"/>
      <c r="BE259" s="296"/>
      <c r="BF259" s="296"/>
      <c r="BG259" s="296"/>
      <c r="BH259" s="296"/>
      <c r="BI259" s="104"/>
      <c r="BJ259" s="296"/>
      <c r="BK259" s="296"/>
      <c r="BL259" s="296"/>
      <c r="BM259" s="296"/>
      <c r="BN259" s="296"/>
      <c r="BO259" s="296"/>
      <c r="BP259" s="296"/>
      <c r="BQ259" s="296"/>
      <c r="BS259" s="296"/>
      <c r="BT259" s="296"/>
      <c r="BU259" s="296"/>
      <c r="BV259" s="296"/>
      <c r="BW259" s="296"/>
      <c r="BX259" s="296"/>
      <c r="BY259" s="296"/>
      <c r="BZ259" s="296"/>
      <c r="CA259" s="104"/>
      <c r="CB259" s="296"/>
      <c r="CC259" s="296"/>
      <c r="CD259" s="296"/>
      <c r="CE259" s="296"/>
      <c r="CF259" s="296"/>
      <c r="CG259" s="296"/>
      <c r="CH259" s="296"/>
      <c r="CI259" s="296"/>
      <c r="CJ259" s="104"/>
      <c r="CK259" s="104"/>
      <c r="CL259" s="104"/>
      <c r="CM259" s="104"/>
      <c r="CN259" s="104"/>
      <c r="CO259" s="104"/>
    </row>
    <row r="260" spans="2:94" ht="12" customHeight="1" x14ac:dyDescent="0.25">
      <c r="C260" s="288"/>
      <c r="D260" s="288"/>
      <c r="E260" s="288"/>
      <c r="F260" s="288"/>
      <c r="G260" s="288"/>
      <c r="I260" s="288"/>
      <c r="J260" s="288"/>
      <c r="K260" s="288"/>
      <c r="L260" s="288"/>
      <c r="M260" s="288"/>
      <c r="N260" s="288"/>
      <c r="P260" s="288"/>
      <c r="Q260" s="288"/>
      <c r="R260" s="288"/>
      <c r="S260" s="288"/>
      <c r="T260" s="288"/>
      <c r="U260" s="288"/>
      <c r="V260" s="288"/>
      <c r="W260" s="288"/>
      <c r="Y260" s="288"/>
      <c r="Z260" s="288"/>
      <c r="AA260" s="288"/>
      <c r="AB260" s="288"/>
      <c r="AC260" s="288"/>
      <c r="AD260" s="288"/>
      <c r="AE260" s="288"/>
      <c r="AF260" s="288"/>
      <c r="AI260" s="296"/>
      <c r="AJ260" s="296"/>
      <c r="AK260" s="296"/>
      <c r="AL260" s="296"/>
      <c r="AM260" s="296"/>
      <c r="AN260" s="296"/>
      <c r="AO260" s="296"/>
      <c r="AP260" s="296"/>
      <c r="AR260" s="296"/>
      <c r="AS260" s="296"/>
      <c r="AT260" s="296"/>
      <c r="AU260" s="296"/>
      <c r="AV260" s="296"/>
      <c r="AW260" s="296"/>
      <c r="AX260" s="296"/>
      <c r="AY260" s="296"/>
      <c r="BA260" s="296"/>
      <c r="BB260" s="296"/>
      <c r="BC260" s="296"/>
      <c r="BD260" s="296"/>
      <c r="BE260" s="296"/>
      <c r="BF260" s="296"/>
      <c r="BG260" s="296"/>
      <c r="BH260" s="296"/>
      <c r="BJ260" s="296"/>
      <c r="BK260" s="296"/>
      <c r="BL260" s="296"/>
      <c r="BM260" s="296"/>
      <c r="BN260" s="296"/>
      <c r="BO260" s="296"/>
      <c r="BP260" s="296"/>
      <c r="BQ260" s="296"/>
      <c r="BS260" s="296"/>
      <c r="BT260" s="296"/>
      <c r="BU260" s="296"/>
      <c r="BV260" s="296"/>
      <c r="BW260" s="296"/>
      <c r="BX260" s="296"/>
      <c r="BY260" s="296"/>
      <c r="BZ260" s="296"/>
      <c r="CB260" s="296"/>
      <c r="CC260" s="296"/>
      <c r="CD260" s="296"/>
      <c r="CE260" s="296"/>
      <c r="CF260" s="296"/>
      <c r="CG260" s="296"/>
      <c r="CH260" s="296"/>
      <c r="CI260" s="296"/>
    </row>
    <row r="261" spans="2:94" ht="12" customHeight="1" x14ac:dyDescent="0.25">
      <c r="C261" s="288"/>
      <c r="D261" s="288"/>
      <c r="E261" s="288"/>
      <c r="F261" s="288"/>
      <c r="G261" s="288"/>
      <c r="I261" s="288"/>
      <c r="J261" s="288"/>
      <c r="K261" s="288"/>
      <c r="L261" s="288"/>
      <c r="M261" s="288"/>
      <c r="N261" s="288"/>
      <c r="P261" s="288"/>
      <c r="Q261" s="288"/>
      <c r="R261" s="288"/>
      <c r="S261" s="288"/>
      <c r="T261" s="288"/>
      <c r="U261" s="288"/>
      <c r="V261" s="288"/>
      <c r="W261" s="288"/>
      <c r="Y261" s="288"/>
      <c r="Z261" s="288"/>
      <c r="AA261" s="288"/>
      <c r="AB261" s="288"/>
      <c r="AC261" s="288"/>
      <c r="AD261" s="288"/>
      <c r="AE261" s="288"/>
      <c r="AF261" s="288"/>
      <c r="AI261" s="296"/>
      <c r="AJ261" s="296"/>
      <c r="AK261" s="296"/>
      <c r="AL261" s="296"/>
      <c r="AM261" s="296"/>
      <c r="AN261" s="296"/>
      <c r="AO261" s="296"/>
      <c r="AP261" s="296"/>
      <c r="AR261" s="296"/>
      <c r="AS261" s="296"/>
      <c r="AT261" s="296"/>
      <c r="AU261" s="296"/>
      <c r="AV261" s="296"/>
      <c r="AW261" s="296"/>
      <c r="AX261" s="296"/>
      <c r="AY261" s="296"/>
      <c r="BA261" s="296"/>
      <c r="BB261" s="296"/>
      <c r="BC261" s="296"/>
      <c r="BD261" s="296"/>
      <c r="BE261" s="296"/>
      <c r="BF261" s="296"/>
      <c r="BG261" s="296"/>
      <c r="BH261" s="296"/>
      <c r="BJ261" s="296"/>
      <c r="BK261" s="296"/>
      <c r="BL261" s="296"/>
      <c r="BM261" s="296"/>
      <c r="BN261" s="296"/>
      <c r="BO261" s="296"/>
      <c r="BP261" s="296"/>
      <c r="BQ261" s="296"/>
      <c r="BS261" s="296"/>
      <c r="BT261" s="296"/>
      <c r="BU261" s="296"/>
      <c r="BV261" s="296"/>
      <c r="BW261" s="296"/>
      <c r="BX261" s="296"/>
      <c r="BY261" s="296"/>
      <c r="BZ261" s="296"/>
      <c r="CB261" s="296"/>
      <c r="CC261" s="296"/>
      <c r="CD261" s="296"/>
      <c r="CE261" s="296"/>
      <c r="CF261" s="296"/>
      <c r="CG261" s="296"/>
      <c r="CH261" s="296"/>
      <c r="CI261" s="296"/>
    </row>
    <row r="262" spans="2:94" ht="31.5" customHeight="1" x14ac:dyDescent="0.25">
      <c r="B262" s="52"/>
      <c r="C262" s="53"/>
      <c r="K262" s="289" t="str">
        <f>IF(G228&gt;2, "Scroll to the right to provide information on the next deficient resource category ==&gt;", "")</f>
        <v/>
      </c>
      <c r="L262" s="289"/>
      <c r="M262" s="289"/>
      <c r="N262" s="289"/>
      <c r="O262" s="100"/>
      <c r="AC262" s="289" t="str">
        <f>IF(G228&gt;4, "Scroll to the right to provide information on the next deficient resource category ==&gt;", "")</f>
        <v/>
      </c>
      <c r="AD262" s="289"/>
      <c r="AE262" s="289"/>
      <c r="AF262" s="289"/>
      <c r="AG262" s="289"/>
      <c r="AU262" s="289" t="str">
        <f>IF(G228&gt;6, "Scroll to the right to provide information on the next deficient resource category ==&gt;", "")</f>
        <v/>
      </c>
      <c r="AV262" s="289"/>
      <c r="AW262" s="289"/>
      <c r="AX262" s="289"/>
      <c r="AY262" s="289"/>
      <c r="BM262" s="289" t="str">
        <f>IF(G228&gt;8, "Scroll to the right to provide information on the next deficient resource category ==&gt;", "")</f>
        <v/>
      </c>
      <c r="BN262" s="289"/>
      <c r="BO262" s="289"/>
      <c r="BP262" s="289"/>
      <c r="BQ262" s="289"/>
      <c r="CD262" s="134"/>
      <c r="CE262" s="134"/>
      <c r="CF262" s="134"/>
      <c r="CG262" s="134"/>
      <c r="CH262" s="134"/>
      <c r="CI262" s="134"/>
      <c r="CJ262" s="118"/>
      <c r="CK262" s="97"/>
      <c r="CM262" s="100"/>
      <c r="CN262" s="100"/>
      <c r="CO262" s="100"/>
      <c r="CP262" s="100"/>
    </row>
    <row r="263" spans="2:94" ht="15" customHeight="1" x14ac:dyDescent="0.25">
      <c r="C263" s="53"/>
      <c r="I263" s="53"/>
      <c r="P263" s="241"/>
      <c r="Y263" s="53"/>
      <c r="AI263" s="53"/>
      <c r="AR263" s="53"/>
      <c r="BA263" s="53"/>
      <c r="BJ263" s="53"/>
      <c r="BS263" s="53"/>
      <c r="CB263" s="53"/>
    </row>
    <row r="264" spans="2:94" ht="15.75" x14ac:dyDescent="0.25">
      <c r="C264" s="53" t="str">
        <f>IF(G228&gt;=1,"Provide a detailed ACTION PLAN for category #1 in the box below","")</f>
        <v/>
      </c>
      <c r="I264" s="53" t="str">
        <f>IF(G228&gt;=2,"Provide a detailed ACTION PLAN for category #2 in the box below","")</f>
        <v/>
      </c>
      <c r="P264" s="241" t="str">
        <f>IF(G228&gt;=3,"Provide a detailed ACTION PLAN for category #3 in the box below","")</f>
        <v/>
      </c>
      <c r="Y264" s="53" t="str">
        <f>IF(G228&gt;=4,"Provide a detailed ACTION PLAN for category #4 in the box below","")</f>
        <v/>
      </c>
      <c r="AI264" s="53" t="str">
        <f>IF(G228&gt;=5,"Provide a detailed ACTION PLAN for category #5 in the box below","")</f>
        <v/>
      </c>
      <c r="AR264" s="53" t="str">
        <f>IF(G228&gt;=6,"Provide a detailed ACTION PLAN for category #6 in the box below","")</f>
        <v/>
      </c>
      <c r="BA264" s="53" t="str">
        <f>IF(G228&gt;=7,"Provide a detailed ACTION PLAN for category #7 in the box below","")</f>
        <v/>
      </c>
      <c r="BJ264" s="53" t="str">
        <f>IF(G228&gt;=8,"Provide a detailed ACTION PLAN for category #8 in the box below","")</f>
        <v/>
      </c>
      <c r="BS264" s="53" t="str">
        <f>IF(G228&gt;=9,"Provide a detailed ACTION PLAN for category #9 in the box below","")</f>
        <v/>
      </c>
      <c r="CB264" s="53" t="str">
        <f>IF(G228&gt;=10,"Provide a detailed ACTION PLAN for category #10 in the box below","")</f>
        <v/>
      </c>
    </row>
    <row r="265" spans="2:94" ht="12" customHeight="1" x14ac:dyDescent="0.25">
      <c r="C265" s="288"/>
      <c r="D265" s="288"/>
      <c r="E265" s="288"/>
      <c r="F265" s="288"/>
      <c r="G265" s="288"/>
      <c r="H265" s="104"/>
      <c r="I265" s="288"/>
      <c r="J265" s="288"/>
      <c r="K265" s="288"/>
      <c r="L265" s="288"/>
      <c r="M265" s="288"/>
      <c r="N265" s="288"/>
      <c r="O265" s="104"/>
      <c r="P265" s="288"/>
      <c r="Q265" s="288"/>
      <c r="R265" s="288"/>
      <c r="S265" s="288"/>
      <c r="T265" s="288"/>
      <c r="U265" s="288"/>
      <c r="V265" s="288"/>
      <c r="W265" s="288"/>
      <c r="X265" s="104"/>
      <c r="Y265" s="288"/>
      <c r="Z265" s="288"/>
      <c r="AA265" s="288"/>
      <c r="AB265" s="288"/>
      <c r="AC265" s="288"/>
      <c r="AD265" s="288"/>
      <c r="AE265" s="288"/>
      <c r="AF265" s="288"/>
      <c r="AG265" s="104"/>
      <c r="AH265" s="104"/>
      <c r="AI265" s="296"/>
      <c r="AJ265" s="296"/>
      <c r="AK265" s="296"/>
      <c r="AL265" s="296"/>
      <c r="AM265" s="296"/>
      <c r="AN265" s="296"/>
      <c r="AO265" s="296"/>
      <c r="AP265" s="296"/>
      <c r="AQ265" s="104"/>
      <c r="AR265" s="296"/>
      <c r="AS265" s="296"/>
      <c r="AT265" s="296"/>
      <c r="AU265" s="296"/>
      <c r="AV265" s="296"/>
      <c r="AW265" s="296"/>
      <c r="AX265" s="296"/>
      <c r="AY265" s="296"/>
      <c r="BA265" s="296"/>
      <c r="BB265" s="296"/>
      <c r="BC265" s="296"/>
      <c r="BD265" s="296"/>
      <c r="BE265" s="296"/>
      <c r="BF265" s="296"/>
      <c r="BG265" s="296"/>
      <c r="BH265" s="296"/>
      <c r="BI265" s="104"/>
      <c r="BJ265" s="296"/>
      <c r="BK265" s="296"/>
      <c r="BL265" s="296"/>
      <c r="BM265" s="296"/>
      <c r="BN265" s="296"/>
      <c r="BO265" s="296"/>
      <c r="BP265" s="296"/>
      <c r="BQ265" s="296"/>
      <c r="BS265" s="296"/>
      <c r="BT265" s="296"/>
      <c r="BU265" s="296"/>
      <c r="BV265" s="296"/>
      <c r="BW265" s="296"/>
      <c r="BX265" s="296"/>
      <c r="BY265" s="296"/>
      <c r="BZ265" s="296"/>
      <c r="CA265" s="104"/>
      <c r="CB265" s="296"/>
      <c r="CC265" s="296"/>
      <c r="CD265" s="296"/>
      <c r="CE265" s="296"/>
      <c r="CF265" s="296"/>
      <c r="CG265" s="296"/>
      <c r="CH265" s="296"/>
      <c r="CI265" s="296"/>
      <c r="CJ265" s="104"/>
      <c r="CK265" s="104"/>
      <c r="CL265" s="104"/>
      <c r="CM265" s="104"/>
      <c r="CN265" s="104"/>
      <c r="CO265" s="104"/>
    </row>
    <row r="266" spans="2:94" ht="12" customHeight="1" x14ac:dyDescent="0.25">
      <c r="C266" s="288"/>
      <c r="D266" s="288"/>
      <c r="E266" s="288"/>
      <c r="F266" s="288"/>
      <c r="G266" s="288"/>
      <c r="H266" s="104"/>
      <c r="I266" s="288"/>
      <c r="J266" s="288"/>
      <c r="K266" s="288"/>
      <c r="L266" s="288"/>
      <c r="M266" s="288"/>
      <c r="N266" s="288"/>
      <c r="O266" s="104"/>
      <c r="P266" s="288"/>
      <c r="Q266" s="288"/>
      <c r="R266" s="288"/>
      <c r="S266" s="288"/>
      <c r="T266" s="288"/>
      <c r="U266" s="288"/>
      <c r="V266" s="288"/>
      <c r="W266" s="288"/>
      <c r="X266" s="104"/>
      <c r="Y266" s="288"/>
      <c r="Z266" s="288"/>
      <c r="AA266" s="288"/>
      <c r="AB266" s="288"/>
      <c r="AC266" s="288"/>
      <c r="AD266" s="288"/>
      <c r="AE266" s="288"/>
      <c r="AF266" s="288"/>
      <c r="AG266" s="104"/>
      <c r="AH266" s="104"/>
      <c r="AI266" s="296"/>
      <c r="AJ266" s="296"/>
      <c r="AK266" s="296"/>
      <c r="AL266" s="296"/>
      <c r="AM266" s="296"/>
      <c r="AN266" s="296"/>
      <c r="AO266" s="296"/>
      <c r="AP266" s="296"/>
      <c r="AQ266" s="104"/>
      <c r="AR266" s="296"/>
      <c r="AS266" s="296"/>
      <c r="AT266" s="296"/>
      <c r="AU266" s="296"/>
      <c r="AV266" s="296"/>
      <c r="AW266" s="296"/>
      <c r="AX266" s="296"/>
      <c r="AY266" s="296"/>
      <c r="BA266" s="296"/>
      <c r="BB266" s="296"/>
      <c r="BC266" s="296"/>
      <c r="BD266" s="296"/>
      <c r="BE266" s="296"/>
      <c r="BF266" s="296"/>
      <c r="BG266" s="296"/>
      <c r="BH266" s="296"/>
      <c r="BI266" s="104"/>
      <c r="BJ266" s="296"/>
      <c r="BK266" s="296"/>
      <c r="BL266" s="296"/>
      <c r="BM266" s="296"/>
      <c r="BN266" s="296"/>
      <c r="BO266" s="296"/>
      <c r="BP266" s="296"/>
      <c r="BQ266" s="296"/>
      <c r="BS266" s="296"/>
      <c r="BT266" s="296"/>
      <c r="BU266" s="296"/>
      <c r="BV266" s="296"/>
      <c r="BW266" s="296"/>
      <c r="BX266" s="296"/>
      <c r="BY266" s="296"/>
      <c r="BZ266" s="296"/>
      <c r="CA266" s="104"/>
      <c r="CB266" s="296"/>
      <c r="CC266" s="296"/>
      <c r="CD266" s="296"/>
      <c r="CE266" s="296"/>
      <c r="CF266" s="296"/>
      <c r="CG266" s="296"/>
      <c r="CH266" s="296"/>
      <c r="CI266" s="296"/>
      <c r="CJ266" s="104"/>
      <c r="CK266" s="104"/>
      <c r="CL266" s="104"/>
      <c r="CM266" s="104"/>
      <c r="CN266" s="104"/>
      <c r="CO266" s="104"/>
    </row>
    <row r="267" spans="2:94" ht="12" customHeight="1" x14ac:dyDescent="0.25">
      <c r="C267" s="288"/>
      <c r="D267" s="288"/>
      <c r="E267" s="288"/>
      <c r="F267" s="288"/>
      <c r="G267" s="288"/>
      <c r="H267" s="104"/>
      <c r="I267" s="288"/>
      <c r="J267" s="288"/>
      <c r="K267" s="288"/>
      <c r="L267" s="288"/>
      <c r="M267" s="288"/>
      <c r="N267" s="288"/>
      <c r="O267" s="104"/>
      <c r="P267" s="288"/>
      <c r="Q267" s="288"/>
      <c r="R267" s="288"/>
      <c r="S267" s="288"/>
      <c r="T267" s="288"/>
      <c r="U267" s="288"/>
      <c r="V267" s="288"/>
      <c r="W267" s="288"/>
      <c r="X267" s="104"/>
      <c r="Y267" s="288"/>
      <c r="Z267" s="288"/>
      <c r="AA267" s="288"/>
      <c r="AB267" s="288"/>
      <c r="AC267" s="288"/>
      <c r="AD267" s="288"/>
      <c r="AE267" s="288"/>
      <c r="AF267" s="288"/>
      <c r="AG267" s="104"/>
      <c r="AH267" s="104"/>
      <c r="AI267" s="296"/>
      <c r="AJ267" s="296"/>
      <c r="AK267" s="296"/>
      <c r="AL267" s="296"/>
      <c r="AM267" s="296"/>
      <c r="AN267" s="296"/>
      <c r="AO267" s="296"/>
      <c r="AP267" s="296"/>
      <c r="AQ267" s="104"/>
      <c r="AR267" s="296"/>
      <c r="AS267" s="296"/>
      <c r="AT267" s="296"/>
      <c r="AU267" s="296"/>
      <c r="AV267" s="296"/>
      <c r="AW267" s="296"/>
      <c r="AX267" s="296"/>
      <c r="AY267" s="296"/>
      <c r="BA267" s="296"/>
      <c r="BB267" s="296"/>
      <c r="BC267" s="296"/>
      <c r="BD267" s="296"/>
      <c r="BE267" s="296"/>
      <c r="BF267" s="296"/>
      <c r="BG267" s="296"/>
      <c r="BH267" s="296"/>
      <c r="BI267" s="104"/>
      <c r="BJ267" s="296"/>
      <c r="BK267" s="296"/>
      <c r="BL267" s="296"/>
      <c r="BM267" s="296"/>
      <c r="BN267" s="296"/>
      <c r="BO267" s="296"/>
      <c r="BP267" s="296"/>
      <c r="BQ267" s="296"/>
      <c r="BS267" s="296"/>
      <c r="BT267" s="296"/>
      <c r="BU267" s="296"/>
      <c r="BV267" s="296"/>
      <c r="BW267" s="296"/>
      <c r="BX267" s="296"/>
      <c r="BY267" s="296"/>
      <c r="BZ267" s="296"/>
      <c r="CA267" s="104"/>
      <c r="CB267" s="296"/>
      <c r="CC267" s="296"/>
      <c r="CD267" s="296"/>
      <c r="CE267" s="296"/>
      <c r="CF267" s="296"/>
      <c r="CG267" s="296"/>
      <c r="CH267" s="296"/>
      <c r="CI267" s="296"/>
      <c r="CJ267" s="104"/>
      <c r="CK267" s="104"/>
      <c r="CL267" s="104"/>
      <c r="CM267" s="104"/>
      <c r="CN267" s="104"/>
      <c r="CO267" s="104"/>
    </row>
    <row r="268" spans="2:94" ht="12" customHeight="1" x14ac:dyDescent="0.25">
      <c r="C268" s="288"/>
      <c r="D268" s="288"/>
      <c r="E268" s="288"/>
      <c r="F268" s="288"/>
      <c r="G268" s="288"/>
      <c r="H268" s="104"/>
      <c r="I268" s="288"/>
      <c r="J268" s="288"/>
      <c r="K268" s="288"/>
      <c r="L268" s="288"/>
      <c r="M268" s="288"/>
      <c r="N268" s="288"/>
      <c r="O268" s="104"/>
      <c r="P268" s="288"/>
      <c r="Q268" s="288"/>
      <c r="R268" s="288"/>
      <c r="S268" s="288"/>
      <c r="T268" s="288"/>
      <c r="U268" s="288"/>
      <c r="V268" s="288"/>
      <c r="W268" s="288"/>
      <c r="X268" s="104"/>
      <c r="Y268" s="288"/>
      <c r="Z268" s="288"/>
      <c r="AA268" s="288"/>
      <c r="AB268" s="288"/>
      <c r="AC268" s="288"/>
      <c r="AD268" s="288"/>
      <c r="AE268" s="288"/>
      <c r="AF268" s="288"/>
      <c r="AG268" s="104"/>
      <c r="AH268" s="104"/>
      <c r="AI268" s="296"/>
      <c r="AJ268" s="296"/>
      <c r="AK268" s="296"/>
      <c r="AL268" s="296"/>
      <c r="AM268" s="296"/>
      <c r="AN268" s="296"/>
      <c r="AO268" s="296"/>
      <c r="AP268" s="296"/>
      <c r="AQ268" s="104"/>
      <c r="AR268" s="296"/>
      <c r="AS268" s="296"/>
      <c r="AT268" s="296"/>
      <c r="AU268" s="296"/>
      <c r="AV268" s="296"/>
      <c r="AW268" s="296"/>
      <c r="AX268" s="296"/>
      <c r="AY268" s="296"/>
      <c r="BA268" s="296"/>
      <c r="BB268" s="296"/>
      <c r="BC268" s="296"/>
      <c r="BD268" s="296"/>
      <c r="BE268" s="296"/>
      <c r="BF268" s="296"/>
      <c r="BG268" s="296"/>
      <c r="BH268" s="296"/>
      <c r="BI268" s="104"/>
      <c r="BJ268" s="296"/>
      <c r="BK268" s="296"/>
      <c r="BL268" s="296"/>
      <c r="BM268" s="296"/>
      <c r="BN268" s="296"/>
      <c r="BO268" s="296"/>
      <c r="BP268" s="296"/>
      <c r="BQ268" s="296"/>
      <c r="BS268" s="296"/>
      <c r="BT268" s="296"/>
      <c r="BU268" s="296"/>
      <c r="BV268" s="296"/>
      <c r="BW268" s="296"/>
      <c r="BX268" s="296"/>
      <c r="BY268" s="296"/>
      <c r="BZ268" s="296"/>
      <c r="CA268" s="104"/>
      <c r="CB268" s="296"/>
      <c r="CC268" s="296"/>
      <c r="CD268" s="296"/>
      <c r="CE268" s="296"/>
      <c r="CF268" s="296"/>
      <c r="CG268" s="296"/>
      <c r="CH268" s="296"/>
      <c r="CI268" s="296"/>
      <c r="CJ268" s="104"/>
      <c r="CK268" s="104"/>
      <c r="CL268" s="104"/>
      <c r="CM268" s="104"/>
      <c r="CN268" s="104"/>
      <c r="CO268" s="104"/>
    </row>
    <row r="269" spans="2:94" ht="12" customHeight="1" x14ac:dyDescent="0.25">
      <c r="C269" s="288"/>
      <c r="D269" s="288"/>
      <c r="E269" s="288"/>
      <c r="F269" s="288"/>
      <c r="G269" s="288"/>
      <c r="H269" s="104"/>
      <c r="I269" s="288"/>
      <c r="J269" s="288"/>
      <c r="K269" s="288"/>
      <c r="L269" s="288"/>
      <c r="M269" s="288"/>
      <c r="N269" s="288"/>
      <c r="O269" s="104"/>
      <c r="P269" s="288"/>
      <c r="Q269" s="288"/>
      <c r="R269" s="288"/>
      <c r="S269" s="288"/>
      <c r="T269" s="288"/>
      <c r="U269" s="288"/>
      <c r="V269" s="288"/>
      <c r="W269" s="288"/>
      <c r="X269" s="104"/>
      <c r="Y269" s="288"/>
      <c r="Z269" s="288"/>
      <c r="AA269" s="288"/>
      <c r="AB269" s="288"/>
      <c r="AC269" s="288"/>
      <c r="AD269" s="288"/>
      <c r="AE269" s="288"/>
      <c r="AF269" s="288"/>
      <c r="AG269" s="104"/>
      <c r="AH269" s="104"/>
      <c r="AI269" s="296"/>
      <c r="AJ269" s="296"/>
      <c r="AK269" s="296"/>
      <c r="AL269" s="296"/>
      <c r="AM269" s="296"/>
      <c r="AN269" s="296"/>
      <c r="AO269" s="296"/>
      <c r="AP269" s="296"/>
      <c r="AQ269" s="104"/>
      <c r="AR269" s="296"/>
      <c r="AS269" s="296"/>
      <c r="AT269" s="296"/>
      <c r="AU269" s="296"/>
      <c r="AV269" s="296"/>
      <c r="AW269" s="296"/>
      <c r="AX269" s="296"/>
      <c r="AY269" s="296"/>
      <c r="BA269" s="296"/>
      <c r="BB269" s="296"/>
      <c r="BC269" s="296"/>
      <c r="BD269" s="296"/>
      <c r="BE269" s="296"/>
      <c r="BF269" s="296"/>
      <c r="BG269" s="296"/>
      <c r="BH269" s="296"/>
      <c r="BI269" s="104"/>
      <c r="BJ269" s="296"/>
      <c r="BK269" s="296"/>
      <c r="BL269" s="296"/>
      <c r="BM269" s="296"/>
      <c r="BN269" s="296"/>
      <c r="BO269" s="296"/>
      <c r="BP269" s="296"/>
      <c r="BQ269" s="296"/>
      <c r="BS269" s="296"/>
      <c r="BT269" s="296"/>
      <c r="BU269" s="296"/>
      <c r="BV269" s="296"/>
      <c r="BW269" s="296"/>
      <c r="BX269" s="296"/>
      <c r="BY269" s="296"/>
      <c r="BZ269" s="296"/>
      <c r="CA269" s="104"/>
      <c r="CB269" s="296"/>
      <c r="CC269" s="296"/>
      <c r="CD269" s="296"/>
      <c r="CE269" s="296"/>
      <c r="CF269" s="296"/>
      <c r="CG269" s="296"/>
      <c r="CH269" s="296"/>
      <c r="CI269" s="296"/>
      <c r="CJ269" s="104"/>
      <c r="CK269" s="104"/>
      <c r="CL269" s="104"/>
      <c r="CM269" s="104"/>
      <c r="CN269" s="104"/>
      <c r="CO269" s="104"/>
    </row>
    <row r="270" spans="2:94" ht="12" customHeight="1" x14ac:dyDescent="0.25">
      <c r="C270" s="288"/>
      <c r="D270" s="288"/>
      <c r="E270" s="288"/>
      <c r="F270" s="288"/>
      <c r="G270" s="288"/>
      <c r="H270" s="104"/>
      <c r="I270" s="288"/>
      <c r="J270" s="288"/>
      <c r="K270" s="288"/>
      <c r="L270" s="288"/>
      <c r="M270" s="288"/>
      <c r="N270" s="288"/>
      <c r="O270" s="104"/>
      <c r="P270" s="288"/>
      <c r="Q270" s="288"/>
      <c r="R270" s="288"/>
      <c r="S270" s="288"/>
      <c r="T270" s="288"/>
      <c r="U270" s="288"/>
      <c r="V270" s="288"/>
      <c r="W270" s="288"/>
      <c r="X270" s="104"/>
      <c r="Y270" s="288"/>
      <c r="Z270" s="288"/>
      <c r="AA270" s="288"/>
      <c r="AB270" s="288"/>
      <c r="AC270" s="288"/>
      <c r="AD270" s="288"/>
      <c r="AE270" s="288"/>
      <c r="AF270" s="288"/>
      <c r="AG270" s="104"/>
      <c r="AH270" s="104"/>
      <c r="AI270" s="296"/>
      <c r="AJ270" s="296"/>
      <c r="AK270" s="296"/>
      <c r="AL270" s="296"/>
      <c r="AM270" s="296"/>
      <c r="AN270" s="296"/>
      <c r="AO270" s="296"/>
      <c r="AP270" s="296"/>
      <c r="AQ270" s="104"/>
      <c r="AR270" s="296"/>
      <c r="AS270" s="296"/>
      <c r="AT270" s="296"/>
      <c r="AU270" s="296"/>
      <c r="AV270" s="296"/>
      <c r="AW270" s="296"/>
      <c r="AX270" s="296"/>
      <c r="AY270" s="296"/>
      <c r="BA270" s="296"/>
      <c r="BB270" s="296"/>
      <c r="BC270" s="296"/>
      <c r="BD270" s="296"/>
      <c r="BE270" s="296"/>
      <c r="BF270" s="296"/>
      <c r="BG270" s="296"/>
      <c r="BH270" s="296"/>
      <c r="BI270" s="104"/>
      <c r="BJ270" s="296"/>
      <c r="BK270" s="296"/>
      <c r="BL270" s="296"/>
      <c r="BM270" s="296"/>
      <c r="BN270" s="296"/>
      <c r="BO270" s="296"/>
      <c r="BP270" s="296"/>
      <c r="BQ270" s="296"/>
      <c r="BS270" s="296"/>
      <c r="BT270" s="296"/>
      <c r="BU270" s="296"/>
      <c r="BV270" s="296"/>
      <c r="BW270" s="296"/>
      <c r="BX270" s="296"/>
      <c r="BY270" s="296"/>
      <c r="BZ270" s="296"/>
      <c r="CA270" s="104"/>
      <c r="CB270" s="296"/>
      <c r="CC270" s="296"/>
      <c r="CD270" s="296"/>
      <c r="CE270" s="296"/>
      <c r="CF270" s="296"/>
      <c r="CG270" s="296"/>
      <c r="CH270" s="296"/>
      <c r="CI270" s="296"/>
      <c r="CJ270" s="104"/>
      <c r="CK270" s="104"/>
      <c r="CL270" s="104"/>
      <c r="CM270" s="104"/>
      <c r="CN270" s="104"/>
      <c r="CO270" s="104"/>
    </row>
    <row r="271" spans="2:94" ht="12" customHeight="1" x14ac:dyDescent="0.25">
      <c r="C271" s="288"/>
      <c r="D271" s="288"/>
      <c r="E271" s="288"/>
      <c r="F271" s="288"/>
      <c r="G271" s="288"/>
      <c r="H271" s="104"/>
      <c r="I271" s="288"/>
      <c r="J271" s="288"/>
      <c r="K271" s="288"/>
      <c r="L271" s="288"/>
      <c r="M271" s="288"/>
      <c r="N271" s="288"/>
      <c r="O271" s="104"/>
      <c r="P271" s="288"/>
      <c r="Q271" s="288"/>
      <c r="R271" s="288"/>
      <c r="S271" s="288"/>
      <c r="T271" s="288"/>
      <c r="U271" s="288"/>
      <c r="V271" s="288"/>
      <c r="W271" s="288"/>
      <c r="X271" s="104"/>
      <c r="Y271" s="288"/>
      <c r="Z271" s="288"/>
      <c r="AA271" s="288"/>
      <c r="AB271" s="288"/>
      <c r="AC271" s="288"/>
      <c r="AD271" s="288"/>
      <c r="AE271" s="288"/>
      <c r="AF271" s="288"/>
      <c r="AG271" s="104"/>
      <c r="AH271" s="104"/>
      <c r="AI271" s="296"/>
      <c r="AJ271" s="296"/>
      <c r="AK271" s="296"/>
      <c r="AL271" s="296"/>
      <c r="AM271" s="296"/>
      <c r="AN271" s="296"/>
      <c r="AO271" s="296"/>
      <c r="AP271" s="296"/>
      <c r="AQ271" s="104"/>
      <c r="AR271" s="296"/>
      <c r="AS271" s="296"/>
      <c r="AT271" s="296"/>
      <c r="AU271" s="296"/>
      <c r="AV271" s="296"/>
      <c r="AW271" s="296"/>
      <c r="AX271" s="296"/>
      <c r="AY271" s="296"/>
      <c r="BA271" s="296"/>
      <c r="BB271" s="296"/>
      <c r="BC271" s="296"/>
      <c r="BD271" s="296"/>
      <c r="BE271" s="296"/>
      <c r="BF271" s="296"/>
      <c r="BG271" s="296"/>
      <c r="BH271" s="296"/>
      <c r="BI271" s="104"/>
      <c r="BJ271" s="296"/>
      <c r="BK271" s="296"/>
      <c r="BL271" s="296"/>
      <c r="BM271" s="296"/>
      <c r="BN271" s="296"/>
      <c r="BO271" s="296"/>
      <c r="BP271" s="296"/>
      <c r="BQ271" s="296"/>
      <c r="BS271" s="296"/>
      <c r="BT271" s="296"/>
      <c r="BU271" s="296"/>
      <c r="BV271" s="296"/>
      <c r="BW271" s="296"/>
      <c r="BX271" s="296"/>
      <c r="BY271" s="296"/>
      <c r="BZ271" s="296"/>
      <c r="CA271" s="104"/>
      <c r="CB271" s="296"/>
      <c r="CC271" s="296"/>
      <c r="CD271" s="296"/>
      <c r="CE271" s="296"/>
      <c r="CF271" s="296"/>
      <c r="CG271" s="296"/>
      <c r="CH271" s="296"/>
      <c r="CI271" s="296"/>
      <c r="CJ271" s="104"/>
      <c r="CK271" s="104"/>
      <c r="CL271" s="104"/>
      <c r="CM271" s="104"/>
      <c r="CN271" s="104"/>
      <c r="CO271" s="104"/>
    </row>
    <row r="272" spans="2:94" ht="12" customHeight="1" x14ac:dyDescent="0.25">
      <c r="C272" s="288"/>
      <c r="D272" s="288"/>
      <c r="E272" s="288"/>
      <c r="F272" s="288"/>
      <c r="G272" s="288"/>
      <c r="H272" s="104"/>
      <c r="I272" s="288"/>
      <c r="J272" s="288"/>
      <c r="K272" s="288"/>
      <c r="L272" s="288"/>
      <c r="M272" s="288"/>
      <c r="N272" s="288"/>
      <c r="O272" s="104"/>
      <c r="P272" s="288"/>
      <c r="Q272" s="288"/>
      <c r="R272" s="288"/>
      <c r="S272" s="288"/>
      <c r="T272" s="288"/>
      <c r="U272" s="288"/>
      <c r="V272" s="288"/>
      <c r="W272" s="288"/>
      <c r="X272" s="104"/>
      <c r="Y272" s="288"/>
      <c r="Z272" s="288"/>
      <c r="AA272" s="288"/>
      <c r="AB272" s="288"/>
      <c r="AC272" s="288"/>
      <c r="AD272" s="288"/>
      <c r="AE272" s="288"/>
      <c r="AF272" s="288"/>
      <c r="AG272" s="104"/>
      <c r="AH272" s="104"/>
      <c r="AI272" s="296"/>
      <c r="AJ272" s="296"/>
      <c r="AK272" s="296"/>
      <c r="AL272" s="296"/>
      <c r="AM272" s="296"/>
      <c r="AN272" s="296"/>
      <c r="AO272" s="296"/>
      <c r="AP272" s="296"/>
      <c r="AQ272" s="104"/>
      <c r="AR272" s="296"/>
      <c r="AS272" s="296"/>
      <c r="AT272" s="296"/>
      <c r="AU272" s="296"/>
      <c r="AV272" s="296"/>
      <c r="AW272" s="296"/>
      <c r="AX272" s="296"/>
      <c r="AY272" s="296"/>
      <c r="BA272" s="296"/>
      <c r="BB272" s="296"/>
      <c r="BC272" s="296"/>
      <c r="BD272" s="296"/>
      <c r="BE272" s="296"/>
      <c r="BF272" s="296"/>
      <c r="BG272" s="296"/>
      <c r="BH272" s="296"/>
      <c r="BI272" s="104"/>
      <c r="BJ272" s="296"/>
      <c r="BK272" s="296"/>
      <c r="BL272" s="296"/>
      <c r="BM272" s="296"/>
      <c r="BN272" s="296"/>
      <c r="BO272" s="296"/>
      <c r="BP272" s="296"/>
      <c r="BQ272" s="296"/>
      <c r="BS272" s="296"/>
      <c r="BT272" s="296"/>
      <c r="BU272" s="296"/>
      <c r="BV272" s="296"/>
      <c r="BW272" s="296"/>
      <c r="BX272" s="296"/>
      <c r="BY272" s="296"/>
      <c r="BZ272" s="296"/>
      <c r="CA272" s="104"/>
      <c r="CB272" s="296"/>
      <c r="CC272" s="296"/>
      <c r="CD272" s="296"/>
      <c r="CE272" s="296"/>
      <c r="CF272" s="296"/>
      <c r="CG272" s="296"/>
      <c r="CH272" s="296"/>
      <c r="CI272" s="296"/>
      <c r="CJ272" s="104"/>
      <c r="CK272" s="104"/>
      <c r="CL272" s="104"/>
      <c r="CM272" s="104"/>
      <c r="CN272" s="104"/>
      <c r="CO272" s="104"/>
    </row>
    <row r="273" spans="3:93" ht="12" customHeight="1" x14ac:dyDescent="0.25">
      <c r="C273" s="288"/>
      <c r="D273" s="288"/>
      <c r="E273" s="288"/>
      <c r="F273" s="288"/>
      <c r="G273" s="288"/>
      <c r="H273" s="104"/>
      <c r="I273" s="288"/>
      <c r="J273" s="288"/>
      <c r="K273" s="288"/>
      <c r="L273" s="288"/>
      <c r="M273" s="288"/>
      <c r="N273" s="288"/>
      <c r="O273" s="104"/>
      <c r="P273" s="288"/>
      <c r="Q273" s="288"/>
      <c r="R273" s="288"/>
      <c r="S273" s="288"/>
      <c r="T273" s="288"/>
      <c r="U273" s="288"/>
      <c r="V273" s="288"/>
      <c r="W273" s="288"/>
      <c r="X273" s="104"/>
      <c r="Y273" s="288"/>
      <c r="Z273" s="288"/>
      <c r="AA273" s="288"/>
      <c r="AB273" s="288"/>
      <c r="AC273" s="288"/>
      <c r="AD273" s="288"/>
      <c r="AE273" s="288"/>
      <c r="AF273" s="288"/>
      <c r="AG273" s="104"/>
      <c r="AH273" s="104"/>
      <c r="AI273" s="296"/>
      <c r="AJ273" s="296"/>
      <c r="AK273" s="296"/>
      <c r="AL273" s="296"/>
      <c r="AM273" s="296"/>
      <c r="AN273" s="296"/>
      <c r="AO273" s="296"/>
      <c r="AP273" s="296"/>
      <c r="AQ273" s="104"/>
      <c r="AR273" s="296"/>
      <c r="AS273" s="296"/>
      <c r="AT273" s="296"/>
      <c r="AU273" s="296"/>
      <c r="AV273" s="296"/>
      <c r="AW273" s="296"/>
      <c r="AX273" s="296"/>
      <c r="AY273" s="296"/>
      <c r="BA273" s="296"/>
      <c r="BB273" s="296"/>
      <c r="BC273" s="296"/>
      <c r="BD273" s="296"/>
      <c r="BE273" s="296"/>
      <c r="BF273" s="296"/>
      <c r="BG273" s="296"/>
      <c r="BH273" s="296"/>
      <c r="BI273" s="104"/>
      <c r="BJ273" s="296"/>
      <c r="BK273" s="296"/>
      <c r="BL273" s="296"/>
      <c r="BM273" s="296"/>
      <c r="BN273" s="296"/>
      <c r="BO273" s="296"/>
      <c r="BP273" s="296"/>
      <c r="BQ273" s="296"/>
      <c r="BS273" s="296"/>
      <c r="BT273" s="296"/>
      <c r="BU273" s="296"/>
      <c r="BV273" s="296"/>
      <c r="BW273" s="296"/>
      <c r="BX273" s="296"/>
      <c r="BY273" s="296"/>
      <c r="BZ273" s="296"/>
      <c r="CA273" s="104"/>
      <c r="CB273" s="296"/>
      <c r="CC273" s="296"/>
      <c r="CD273" s="296"/>
      <c r="CE273" s="296"/>
      <c r="CF273" s="296"/>
      <c r="CG273" s="296"/>
      <c r="CH273" s="296"/>
      <c r="CI273" s="296"/>
      <c r="CJ273" s="104"/>
      <c r="CK273" s="104"/>
      <c r="CL273" s="104"/>
      <c r="CM273" s="104"/>
      <c r="CN273" s="104"/>
      <c r="CO273" s="104"/>
    </row>
    <row r="274" spans="3:93" ht="12" customHeight="1" x14ac:dyDescent="0.25">
      <c r="C274" s="288"/>
      <c r="D274" s="288"/>
      <c r="E274" s="288"/>
      <c r="F274" s="288"/>
      <c r="G274" s="288"/>
      <c r="H274" s="104"/>
      <c r="I274" s="288"/>
      <c r="J274" s="288"/>
      <c r="K274" s="288"/>
      <c r="L274" s="288"/>
      <c r="M274" s="288"/>
      <c r="N274" s="288"/>
      <c r="O274" s="104"/>
      <c r="P274" s="288"/>
      <c r="Q274" s="288"/>
      <c r="R274" s="288"/>
      <c r="S274" s="288"/>
      <c r="T274" s="288"/>
      <c r="U274" s="288"/>
      <c r="V274" s="288"/>
      <c r="W274" s="288"/>
      <c r="X274" s="104"/>
      <c r="Y274" s="288"/>
      <c r="Z274" s="288"/>
      <c r="AA274" s="288"/>
      <c r="AB274" s="288"/>
      <c r="AC274" s="288"/>
      <c r="AD274" s="288"/>
      <c r="AE274" s="288"/>
      <c r="AF274" s="288"/>
      <c r="AG274" s="104"/>
      <c r="AH274" s="104"/>
      <c r="AI274" s="296"/>
      <c r="AJ274" s="296"/>
      <c r="AK274" s="296"/>
      <c r="AL274" s="296"/>
      <c r="AM274" s="296"/>
      <c r="AN274" s="296"/>
      <c r="AO274" s="296"/>
      <c r="AP274" s="296"/>
      <c r="AQ274" s="104"/>
      <c r="AR274" s="296"/>
      <c r="AS274" s="296"/>
      <c r="AT274" s="296"/>
      <c r="AU274" s="296"/>
      <c r="AV274" s="296"/>
      <c r="AW274" s="296"/>
      <c r="AX274" s="296"/>
      <c r="AY274" s="296"/>
      <c r="BA274" s="296"/>
      <c r="BB274" s="296"/>
      <c r="BC274" s="296"/>
      <c r="BD274" s="296"/>
      <c r="BE274" s="296"/>
      <c r="BF274" s="296"/>
      <c r="BG274" s="296"/>
      <c r="BH274" s="296"/>
      <c r="BI274" s="104"/>
      <c r="BJ274" s="296"/>
      <c r="BK274" s="296"/>
      <c r="BL274" s="296"/>
      <c r="BM274" s="296"/>
      <c r="BN274" s="296"/>
      <c r="BO274" s="296"/>
      <c r="BP274" s="296"/>
      <c r="BQ274" s="296"/>
      <c r="BS274" s="296"/>
      <c r="BT274" s="296"/>
      <c r="BU274" s="296"/>
      <c r="BV274" s="296"/>
      <c r="BW274" s="296"/>
      <c r="BX274" s="296"/>
      <c r="BY274" s="296"/>
      <c r="BZ274" s="296"/>
      <c r="CA274" s="104"/>
      <c r="CB274" s="296"/>
      <c r="CC274" s="296"/>
      <c r="CD274" s="296"/>
      <c r="CE274" s="296"/>
      <c r="CF274" s="296"/>
      <c r="CG274" s="296"/>
      <c r="CH274" s="296"/>
      <c r="CI274" s="296"/>
      <c r="CJ274" s="104"/>
      <c r="CK274" s="104"/>
      <c r="CL274" s="104"/>
      <c r="CM274" s="104"/>
      <c r="CN274" s="104"/>
      <c r="CO274" s="104"/>
    </row>
    <row r="275" spans="3:93" ht="12" customHeight="1" x14ac:dyDescent="0.25">
      <c r="C275" s="288"/>
      <c r="D275" s="288"/>
      <c r="E275" s="288"/>
      <c r="F275" s="288"/>
      <c r="G275" s="288"/>
      <c r="H275" s="104"/>
      <c r="I275" s="288"/>
      <c r="J275" s="288"/>
      <c r="K275" s="288"/>
      <c r="L275" s="288"/>
      <c r="M275" s="288"/>
      <c r="N275" s="288"/>
      <c r="O275" s="104"/>
      <c r="P275" s="288"/>
      <c r="Q275" s="288"/>
      <c r="R275" s="288"/>
      <c r="S275" s="288"/>
      <c r="T275" s="288"/>
      <c r="U275" s="288"/>
      <c r="V275" s="288"/>
      <c r="W275" s="288"/>
      <c r="X275" s="104"/>
      <c r="Y275" s="288"/>
      <c r="Z275" s="288"/>
      <c r="AA275" s="288"/>
      <c r="AB275" s="288"/>
      <c r="AC275" s="288"/>
      <c r="AD275" s="288"/>
      <c r="AE275" s="288"/>
      <c r="AF275" s="288"/>
      <c r="AG275" s="104"/>
      <c r="AH275" s="104"/>
      <c r="AI275" s="296"/>
      <c r="AJ275" s="296"/>
      <c r="AK275" s="296"/>
      <c r="AL275" s="296"/>
      <c r="AM275" s="296"/>
      <c r="AN275" s="296"/>
      <c r="AO275" s="296"/>
      <c r="AP275" s="296"/>
      <c r="AQ275" s="104"/>
      <c r="AR275" s="296"/>
      <c r="AS275" s="296"/>
      <c r="AT275" s="296"/>
      <c r="AU275" s="296"/>
      <c r="AV275" s="296"/>
      <c r="AW275" s="296"/>
      <c r="AX275" s="296"/>
      <c r="AY275" s="296"/>
      <c r="BA275" s="296"/>
      <c r="BB275" s="296"/>
      <c r="BC275" s="296"/>
      <c r="BD275" s="296"/>
      <c r="BE275" s="296"/>
      <c r="BF275" s="296"/>
      <c r="BG275" s="296"/>
      <c r="BH275" s="296"/>
      <c r="BI275" s="104"/>
      <c r="BJ275" s="296"/>
      <c r="BK275" s="296"/>
      <c r="BL275" s="296"/>
      <c r="BM275" s="296"/>
      <c r="BN275" s="296"/>
      <c r="BO275" s="296"/>
      <c r="BP275" s="296"/>
      <c r="BQ275" s="296"/>
      <c r="BS275" s="296"/>
      <c r="BT275" s="296"/>
      <c r="BU275" s="296"/>
      <c r="BV275" s="296"/>
      <c r="BW275" s="296"/>
      <c r="BX275" s="296"/>
      <c r="BY275" s="296"/>
      <c r="BZ275" s="296"/>
      <c r="CA275" s="104"/>
      <c r="CB275" s="296"/>
      <c r="CC275" s="296"/>
      <c r="CD275" s="296"/>
      <c r="CE275" s="296"/>
      <c r="CF275" s="296"/>
      <c r="CG275" s="296"/>
      <c r="CH275" s="296"/>
      <c r="CI275" s="296"/>
      <c r="CJ275" s="104"/>
      <c r="CK275" s="104"/>
      <c r="CL275" s="104"/>
      <c r="CM275" s="104"/>
      <c r="CN275" s="104"/>
      <c r="CO275" s="104"/>
    </row>
    <row r="276" spans="3:93" ht="12" customHeight="1" x14ac:dyDescent="0.25">
      <c r="C276" s="288"/>
      <c r="D276" s="288"/>
      <c r="E276" s="288"/>
      <c r="F276" s="288"/>
      <c r="G276" s="288"/>
      <c r="H276" s="104"/>
      <c r="I276" s="288"/>
      <c r="J276" s="288"/>
      <c r="K276" s="288"/>
      <c r="L276" s="288"/>
      <c r="M276" s="288"/>
      <c r="N276" s="288"/>
      <c r="O276" s="104"/>
      <c r="P276" s="288"/>
      <c r="Q276" s="288"/>
      <c r="R276" s="288"/>
      <c r="S276" s="288"/>
      <c r="T276" s="288"/>
      <c r="U276" s="288"/>
      <c r="V276" s="288"/>
      <c r="W276" s="288"/>
      <c r="X276" s="104"/>
      <c r="Y276" s="288"/>
      <c r="Z276" s="288"/>
      <c r="AA276" s="288"/>
      <c r="AB276" s="288"/>
      <c r="AC276" s="288"/>
      <c r="AD276" s="288"/>
      <c r="AE276" s="288"/>
      <c r="AF276" s="288"/>
      <c r="AG276" s="104"/>
      <c r="AH276" s="104"/>
      <c r="AI276" s="296"/>
      <c r="AJ276" s="296"/>
      <c r="AK276" s="296"/>
      <c r="AL276" s="296"/>
      <c r="AM276" s="296"/>
      <c r="AN276" s="296"/>
      <c r="AO276" s="296"/>
      <c r="AP276" s="296"/>
      <c r="AQ276" s="104"/>
      <c r="AR276" s="296"/>
      <c r="AS276" s="296"/>
      <c r="AT276" s="296"/>
      <c r="AU276" s="296"/>
      <c r="AV276" s="296"/>
      <c r="AW276" s="296"/>
      <c r="AX276" s="296"/>
      <c r="AY276" s="296"/>
      <c r="BA276" s="296"/>
      <c r="BB276" s="296"/>
      <c r="BC276" s="296"/>
      <c r="BD276" s="296"/>
      <c r="BE276" s="296"/>
      <c r="BF276" s="296"/>
      <c r="BG276" s="296"/>
      <c r="BH276" s="296"/>
      <c r="BI276" s="104"/>
      <c r="BJ276" s="296"/>
      <c r="BK276" s="296"/>
      <c r="BL276" s="296"/>
      <c r="BM276" s="296"/>
      <c r="BN276" s="296"/>
      <c r="BO276" s="296"/>
      <c r="BP276" s="296"/>
      <c r="BQ276" s="296"/>
      <c r="BS276" s="296"/>
      <c r="BT276" s="296"/>
      <c r="BU276" s="296"/>
      <c r="BV276" s="296"/>
      <c r="BW276" s="296"/>
      <c r="BX276" s="296"/>
      <c r="BY276" s="296"/>
      <c r="BZ276" s="296"/>
      <c r="CA276" s="104"/>
      <c r="CB276" s="296"/>
      <c r="CC276" s="296"/>
      <c r="CD276" s="296"/>
      <c r="CE276" s="296"/>
      <c r="CF276" s="296"/>
      <c r="CG276" s="296"/>
      <c r="CH276" s="296"/>
      <c r="CI276" s="296"/>
      <c r="CJ276" s="104"/>
      <c r="CK276" s="104"/>
      <c r="CL276" s="104"/>
      <c r="CM276" s="104"/>
      <c r="CN276" s="104"/>
      <c r="CO276" s="104"/>
    </row>
    <row r="277" spans="3:93" ht="12" customHeight="1" x14ac:dyDescent="0.25">
      <c r="C277" s="288"/>
      <c r="D277" s="288"/>
      <c r="E277" s="288"/>
      <c r="F277" s="288"/>
      <c r="G277" s="288"/>
      <c r="H277" s="104"/>
      <c r="I277" s="288"/>
      <c r="J277" s="288"/>
      <c r="K277" s="288"/>
      <c r="L277" s="288"/>
      <c r="M277" s="288"/>
      <c r="N277" s="288"/>
      <c r="O277" s="104"/>
      <c r="P277" s="288"/>
      <c r="Q277" s="288"/>
      <c r="R277" s="288"/>
      <c r="S277" s="288"/>
      <c r="T277" s="288"/>
      <c r="U277" s="288"/>
      <c r="V277" s="288"/>
      <c r="W277" s="288"/>
      <c r="X277" s="104"/>
      <c r="Y277" s="288"/>
      <c r="Z277" s="288"/>
      <c r="AA277" s="288"/>
      <c r="AB277" s="288"/>
      <c r="AC277" s="288"/>
      <c r="AD277" s="288"/>
      <c r="AE277" s="288"/>
      <c r="AF277" s="288"/>
      <c r="AG277" s="104"/>
      <c r="AH277" s="104"/>
      <c r="AI277" s="296"/>
      <c r="AJ277" s="296"/>
      <c r="AK277" s="296"/>
      <c r="AL277" s="296"/>
      <c r="AM277" s="296"/>
      <c r="AN277" s="296"/>
      <c r="AO277" s="296"/>
      <c r="AP277" s="296"/>
      <c r="AQ277" s="104"/>
      <c r="AR277" s="296"/>
      <c r="AS277" s="296"/>
      <c r="AT277" s="296"/>
      <c r="AU277" s="296"/>
      <c r="AV277" s="296"/>
      <c r="AW277" s="296"/>
      <c r="AX277" s="296"/>
      <c r="AY277" s="296"/>
      <c r="BA277" s="296"/>
      <c r="BB277" s="296"/>
      <c r="BC277" s="296"/>
      <c r="BD277" s="296"/>
      <c r="BE277" s="296"/>
      <c r="BF277" s="296"/>
      <c r="BG277" s="296"/>
      <c r="BH277" s="296"/>
      <c r="BI277" s="104"/>
      <c r="BJ277" s="296"/>
      <c r="BK277" s="296"/>
      <c r="BL277" s="296"/>
      <c r="BM277" s="296"/>
      <c r="BN277" s="296"/>
      <c r="BO277" s="296"/>
      <c r="BP277" s="296"/>
      <c r="BQ277" s="296"/>
      <c r="BS277" s="296"/>
      <c r="BT277" s="296"/>
      <c r="BU277" s="296"/>
      <c r="BV277" s="296"/>
      <c r="BW277" s="296"/>
      <c r="BX277" s="296"/>
      <c r="BY277" s="296"/>
      <c r="BZ277" s="296"/>
      <c r="CA277" s="104"/>
      <c r="CB277" s="296"/>
      <c r="CC277" s="296"/>
      <c r="CD277" s="296"/>
      <c r="CE277" s="296"/>
      <c r="CF277" s="296"/>
      <c r="CG277" s="296"/>
      <c r="CH277" s="296"/>
      <c r="CI277" s="296"/>
      <c r="CJ277" s="104"/>
      <c r="CK277" s="104"/>
      <c r="CL277" s="104"/>
      <c r="CM277" s="104"/>
      <c r="CN277" s="104"/>
      <c r="CO277" s="104"/>
    </row>
    <row r="278" spans="3:93" ht="12" customHeight="1" x14ac:dyDescent="0.25">
      <c r="C278" s="288"/>
      <c r="D278" s="288"/>
      <c r="E278" s="288"/>
      <c r="F278" s="288"/>
      <c r="G278" s="288"/>
      <c r="H278" s="104"/>
      <c r="I278" s="288"/>
      <c r="J278" s="288"/>
      <c r="K278" s="288"/>
      <c r="L278" s="288"/>
      <c r="M278" s="288"/>
      <c r="N278" s="288"/>
      <c r="O278" s="104"/>
      <c r="P278" s="288"/>
      <c r="Q278" s="288"/>
      <c r="R278" s="288"/>
      <c r="S278" s="288"/>
      <c r="T278" s="288"/>
      <c r="U278" s="288"/>
      <c r="V278" s="288"/>
      <c r="W278" s="288"/>
      <c r="X278" s="104"/>
      <c r="Y278" s="288"/>
      <c r="Z278" s="288"/>
      <c r="AA278" s="288"/>
      <c r="AB278" s="288"/>
      <c r="AC278" s="288"/>
      <c r="AD278" s="288"/>
      <c r="AE278" s="288"/>
      <c r="AF278" s="288"/>
      <c r="AG278" s="104"/>
      <c r="AH278" s="104"/>
      <c r="AI278" s="296"/>
      <c r="AJ278" s="296"/>
      <c r="AK278" s="296"/>
      <c r="AL278" s="296"/>
      <c r="AM278" s="296"/>
      <c r="AN278" s="296"/>
      <c r="AO278" s="296"/>
      <c r="AP278" s="296"/>
      <c r="AQ278" s="104"/>
      <c r="AR278" s="296"/>
      <c r="AS278" s="296"/>
      <c r="AT278" s="296"/>
      <c r="AU278" s="296"/>
      <c r="AV278" s="296"/>
      <c r="AW278" s="296"/>
      <c r="AX278" s="296"/>
      <c r="AY278" s="296"/>
      <c r="BA278" s="296"/>
      <c r="BB278" s="296"/>
      <c r="BC278" s="296"/>
      <c r="BD278" s="296"/>
      <c r="BE278" s="296"/>
      <c r="BF278" s="296"/>
      <c r="BG278" s="296"/>
      <c r="BH278" s="296"/>
      <c r="BI278" s="104"/>
      <c r="BJ278" s="296"/>
      <c r="BK278" s="296"/>
      <c r="BL278" s="296"/>
      <c r="BM278" s="296"/>
      <c r="BN278" s="296"/>
      <c r="BO278" s="296"/>
      <c r="BP278" s="296"/>
      <c r="BQ278" s="296"/>
      <c r="BS278" s="296"/>
      <c r="BT278" s="296"/>
      <c r="BU278" s="296"/>
      <c r="BV278" s="296"/>
      <c r="BW278" s="296"/>
      <c r="BX278" s="296"/>
      <c r="BY278" s="296"/>
      <c r="BZ278" s="296"/>
      <c r="CA278" s="104"/>
      <c r="CB278" s="296"/>
      <c r="CC278" s="296"/>
      <c r="CD278" s="296"/>
      <c r="CE278" s="296"/>
      <c r="CF278" s="296"/>
      <c r="CG278" s="296"/>
      <c r="CH278" s="296"/>
      <c r="CI278" s="296"/>
      <c r="CJ278" s="104"/>
      <c r="CK278" s="104"/>
      <c r="CL278" s="104"/>
      <c r="CM278" s="104"/>
      <c r="CN278" s="104"/>
      <c r="CO278" s="104"/>
    </row>
    <row r="279" spans="3:93" ht="12" customHeight="1" x14ac:dyDescent="0.25">
      <c r="C279" s="288"/>
      <c r="D279" s="288"/>
      <c r="E279" s="288"/>
      <c r="F279" s="288"/>
      <c r="G279" s="288"/>
      <c r="H279" s="104"/>
      <c r="I279" s="288"/>
      <c r="J279" s="288"/>
      <c r="K279" s="288"/>
      <c r="L279" s="288"/>
      <c r="M279" s="288"/>
      <c r="N279" s="288"/>
      <c r="O279" s="104"/>
      <c r="P279" s="288"/>
      <c r="Q279" s="288"/>
      <c r="R279" s="288"/>
      <c r="S279" s="288"/>
      <c r="T279" s="288"/>
      <c r="U279" s="288"/>
      <c r="V279" s="288"/>
      <c r="W279" s="288"/>
      <c r="X279" s="104"/>
      <c r="Y279" s="288"/>
      <c r="Z279" s="288"/>
      <c r="AA279" s="288"/>
      <c r="AB279" s="288"/>
      <c r="AC279" s="288"/>
      <c r="AD279" s="288"/>
      <c r="AE279" s="288"/>
      <c r="AF279" s="288"/>
      <c r="AG279" s="104"/>
      <c r="AH279" s="104"/>
      <c r="AI279" s="296"/>
      <c r="AJ279" s="296"/>
      <c r="AK279" s="296"/>
      <c r="AL279" s="296"/>
      <c r="AM279" s="296"/>
      <c r="AN279" s="296"/>
      <c r="AO279" s="296"/>
      <c r="AP279" s="296"/>
      <c r="AQ279" s="104"/>
      <c r="AR279" s="296"/>
      <c r="AS279" s="296"/>
      <c r="AT279" s="296"/>
      <c r="AU279" s="296"/>
      <c r="AV279" s="296"/>
      <c r="AW279" s="296"/>
      <c r="AX279" s="296"/>
      <c r="AY279" s="296"/>
      <c r="BA279" s="296"/>
      <c r="BB279" s="296"/>
      <c r="BC279" s="296"/>
      <c r="BD279" s="296"/>
      <c r="BE279" s="296"/>
      <c r="BF279" s="296"/>
      <c r="BG279" s="296"/>
      <c r="BH279" s="296"/>
      <c r="BI279" s="104"/>
      <c r="BJ279" s="296"/>
      <c r="BK279" s="296"/>
      <c r="BL279" s="296"/>
      <c r="BM279" s="296"/>
      <c r="BN279" s="296"/>
      <c r="BO279" s="296"/>
      <c r="BP279" s="296"/>
      <c r="BQ279" s="296"/>
      <c r="BS279" s="296"/>
      <c r="BT279" s="296"/>
      <c r="BU279" s="296"/>
      <c r="BV279" s="296"/>
      <c r="BW279" s="296"/>
      <c r="BX279" s="296"/>
      <c r="BY279" s="296"/>
      <c r="BZ279" s="296"/>
      <c r="CA279" s="104"/>
      <c r="CB279" s="296"/>
      <c r="CC279" s="296"/>
      <c r="CD279" s="296"/>
      <c r="CE279" s="296"/>
      <c r="CF279" s="296"/>
      <c r="CG279" s="296"/>
      <c r="CH279" s="296"/>
      <c r="CI279" s="296"/>
      <c r="CJ279" s="104"/>
      <c r="CK279" s="104"/>
      <c r="CL279" s="104"/>
      <c r="CM279" s="104"/>
      <c r="CN279" s="104"/>
      <c r="CO279" s="104"/>
    </row>
    <row r="280" spans="3:93" ht="12" customHeight="1" x14ac:dyDescent="0.25">
      <c r="C280" s="288"/>
      <c r="D280" s="288"/>
      <c r="E280" s="288"/>
      <c r="F280" s="288"/>
      <c r="G280" s="288"/>
      <c r="H280" s="104"/>
      <c r="I280" s="288"/>
      <c r="J280" s="288"/>
      <c r="K280" s="288"/>
      <c r="L280" s="288"/>
      <c r="M280" s="288"/>
      <c r="N280" s="288"/>
      <c r="O280" s="104"/>
      <c r="P280" s="288"/>
      <c r="Q280" s="288"/>
      <c r="R280" s="288"/>
      <c r="S280" s="288"/>
      <c r="T280" s="288"/>
      <c r="U280" s="288"/>
      <c r="V280" s="288"/>
      <c r="W280" s="288"/>
      <c r="X280" s="104"/>
      <c r="Y280" s="288"/>
      <c r="Z280" s="288"/>
      <c r="AA280" s="288"/>
      <c r="AB280" s="288"/>
      <c r="AC280" s="288"/>
      <c r="AD280" s="288"/>
      <c r="AE280" s="288"/>
      <c r="AF280" s="288"/>
      <c r="AG280" s="104"/>
      <c r="AH280" s="104"/>
      <c r="AI280" s="296"/>
      <c r="AJ280" s="296"/>
      <c r="AK280" s="296"/>
      <c r="AL280" s="296"/>
      <c r="AM280" s="296"/>
      <c r="AN280" s="296"/>
      <c r="AO280" s="296"/>
      <c r="AP280" s="296"/>
      <c r="AQ280" s="104"/>
      <c r="AR280" s="296"/>
      <c r="AS280" s="296"/>
      <c r="AT280" s="296"/>
      <c r="AU280" s="296"/>
      <c r="AV280" s="296"/>
      <c r="AW280" s="296"/>
      <c r="AX280" s="296"/>
      <c r="AY280" s="296"/>
      <c r="BA280" s="296"/>
      <c r="BB280" s="296"/>
      <c r="BC280" s="296"/>
      <c r="BD280" s="296"/>
      <c r="BE280" s="296"/>
      <c r="BF280" s="296"/>
      <c r="BG280" s="296"/>
      <c r="BH280" s="296"/>
      <c r="BI280" s="104"/>
      <c r="BJ280" s="296"/>
      <c r="BK280" s="296"/>
      <c r="BL280" s="296"/>
      <c r="BM280" s="296"/>
      <c r="BN280" s="296"/>
      <c r="BO280" s="296"/>
      <c r="BP280" s="296"/>
      <c r="BQ280" s="296"/>
      <c r="BS280" s="296"/>
      <c r="BT280" s="296"/>
      <c r="BU280" s="296"/>
      <c r="BV280" s="296"/>
      <c r="BW280" s="296"/>
      <c r="BX280" s="296"/>
      <c r="BY280" s="296"/>
      <c r="BZ280" s="296"/>
      <c r="CA280" s="104"/>
      <c r="CB280" s="296"/>
      <c r="CC280" s="296"/>
      <c r="CD280" s="296"/>
      <c r="CE280" s="296"/>
      <c r="CF280" s="296"/>
      <c r="CG280" s="296"/>
      <c r="CH280" s="296"/>
      <c r="CI280" s="296"/>
      <c r="CJ280" s="104"/>
      <c r="CK280" s="104"/>
      <c r="CL280" s="104"/>
      <c r="CM280" s="104"/>
      <c r="CN280" s="104"/>
      <c r="CO280" s="104"/>
    </row>
    <row r="281" spans="3:93" ht="12" customHeight="1" x14ac:dyDescent="0.25">
      <c r="C281" s="288"/>
      <c r="D281" s="288"/>
      <c r="E281" s="288"/>
      <c r="F281" s="288"/>
      <c r="G281" s="288"/>
      <c r="H281" s="104"/>
      <c r="I281" s="288"/>
      <c r="J281" s="288"/>
      <c r="K281" s="288"/>
      <c r="L281" s="288"/>
      <c r="M281" s="288"/>
      <c r="N281" s="288"/>
      <c r="O281" s="104"/>
      <c r="P281" s="288"/>
      <c r="Q281" s="288"/>
      <c r="R281" s="288"/>
      <c r="S281" s="288"/>
      <c r="T281" s="288"/>
      <c r="U281" s="288"/>
      <c r="V281" s="288"/>
      <c r="W281" s="288"/>
      <c r="X281" s="104"/>
      <c r="Y281" s="288"/>
      <c r="Z281" s="288"/>
      <c r="AA281" s="288"/>
      <c r="AB281" s="288"/>
      <c r="AC281" s="288"/>
      <c r="AD281" s="288"/>
      <c r="AE281" s="288"/>
      <c r="AF281" s="288"/>
      <c r="AG281" s="104"/>
      <c r="AH281" s="104"/>
      <c r="AI281" s="296"/>
      <c r="AJ281" s="296"/>
      <c r="AK281" s="296"/>
      <c r="AL281" s="296"/>
      <c r="AM281" s="296"/>
      <c r="AN281" s="296"/>
      <c r="AO281" s="296"/>
      <c r="AP281" s="296"/>
      <c r="AQ281" s="104"/>
      <c r="AR281" s="296"/>
      <c r="AS281" s="296"/>
      <c r="AT281" s="296"/>
      <c r="AU281" s="296"/>
      <c r="AV281" s="296"/>
      <c r="AW281" s="296"/>
      <c r="AX281" s="296"/>
      <c r="AY281" s="296"/>
      <c r="BA281" s="296"/>
      <c r="BB281" s="296"/>
      <c r="BC281" s="296"/>
      <c r="BD281" s="296"/>
      <c r="BE281" s="296"/>
      <c r="BF281" s="296"/>
      <c r="BG281" s="296"/>
      <c r="BH281" s="296"/>
      <c r="BI281" s="104"/>
      <c r="BJ281" s="296"/>
      <c r="BK281" s="296"/>
      <c r="BL281" s="296"/>
      <c r="BM281" s="296"/>
      <c r="BN281" s="296"/>
      <c r="BO281" s="296"/>
      <c r="BP281" s="296"/>
      <c r="BQ281" s="296"/>
      <c r="BS281" s="296"/>
      <c r="BT281" s="296"/>
      <c r="BU281" s="296"/>
      <c r="BV281" s="296"/>
      <c r="BW281" s="296"/>
      <c r="BX281" s="296"/>
      <c r="BY281" s="296"/>
      <c r="BZ281" s="296"/>
      <c r="CA281" s="104"/>
      <c r="CB281" s="296"/>
      <c r="CC281" s="296"/>
      <c r="CD281" s="296"/>
      <c r="CE281" s="296"/>
      <c r="CF281" s="296"/>
      <c r="CG281" s="296"/>
      <c r="CH281" s="296"/>
      <c r="CI281" s="296"/>
      <c r="CJ281" s="104"/>
      <c r="CK281" s="104"/>
      <c r="CL281" s="104"/>
      <c r="CM281" s="104"/>
      <c r="CN281" s="104"/>
      <c r="CO281" s="104"/>
    </row>
    <row r="282" spans="3:93" ht="12" customHeight="1" x14ac:dyDescent="0.25">
      <c r="C282" s="288"/>
      <c r="D282" s="288"/>
      <c r="E282" s="288"/>
      <c r="F282" s="288"/>
      <c r="G282" s="288"/>
      <c r="H282" s="104"/>
      <c r="I282" s="288"/>
      <c r="J282" s="288"/>
      <c r="K282" s="288"/>
      <c r="L282" s="288"/>
      <c r="M282" s="288"/>
      <c r="N282" s="288"/>
      <c r="O282" s="104"/>
      <c r="P282" s="288"/>
      <c r="Q282" s="288"/>
      <c r="R282" s="288"/>
      <c r="S282" s="288"/>
      <c r="T282" s="288"/>
      <c r="U282" s="288"/>
      <c r="V282" s="288"/>
      <c r="W282" s="288"/>
      <c r="X282" s="104"/>
      <c r="Y282" s="288"/>
      <c r="Z282" s="288"/>
      <c r="AA282" s="288"/>
      <c r="AB282" s="288"/>
      <c r="AC282" s="288"/>
      <c r="AD282" s="288"/>
      <c r="AE282" s="288"/>
      <c r="AF282" s="288"/>
      <c r="AG282" s="104"/>
      <c r="AH282" s="104"/>
      <c r="AI282" s="296"/>
      <c r="AJ282" s="296"/>
      <c r="AK282" s="296"/>
      <c r="AL282" s="296"/>
      <c r="AM282" s="296"/>
      <c r="AN282" s="296"/>
      <c r="AO282" s="296"/>
      <c r="AP282" s="296"/>
      <c r="AQ282" s="104"/>
      <c r="AR282" s="296"/>
      <c r="AS282" s="296"/>
      <c r="AT282" s="296"/>
      <c r="AU282" s="296"/>
      <c r="AV282" s="296"/>
      <c r="AW282" s="296"/>
      <c r="AX282" s="296"/>
      <c r="AY282" s="296"/>
      <c r="BA282" s="296"/>
      <c r="BB282" s="296"/>
      <c r="BC282" s="296"/>
      <c r="BD282" s="296"/>
      <c r="BE282" s="296"/>
      <c r="BF282" s="296"/>
      <c r="BG282" s="296"/>
      <c r="BH282" s="296"/>
      <c r="BI282" s="104"/>
      <c r="BJ282" s="296"/>
      <c r="BK282" s="296"/>
      <c r="BL282" s="296"/>
      <c r="BM282" s="296"/>
      <c r="BN282" s="296"/>
      <c r="BO282" s="296"/>
      <c r="BP282" s="296"/>
      <c r="BQ282" s="296"/>
      <c r="BS282" s="296"/>
      <c r="BT282" s="296"/>
      <c r="BU282" s="296"/>
      <c r="BV282" s="296"/>
      <c r="BW282" s="296"/>
      <c r="BX282" s="296"/>
      <c r="BY282" s="296"/>
      <c r="BZ282" s="296"/>
      <c r="CA282" s="104"/>
      <c r="CB282" s="296"/>
      <c r="CC282" s="296"/>
      <c r="CD282" s="296"/>
      <c r="CE282" s="296"/>
      <c r="CF282" s="296"/>
      <c r="CG282" s="296"/>
      <c r="CH282" s="296"/>
      <c r="CI282" s="296"/>
      <c r="CJ282" s="104"/>
      <c r="CK282" s="104"/>
      <c r="CL282" s="104"/>
      <c r="CM282" s="104"/>
      <c r="CN282" s="104"/>
      <c r="CO282" s="104"/>
    </row>
    <row r="283" spans="3:93" ht="12" customHeight="1" x14ac:dyDescent="0.25">
      <c r="C283" s="288"/>
      <c r="D283" s="288"/>
      <c r="E283" s="288"/>
      <c r="F283" s="288"/>
      <c r="G283" s="288"/>
      <c r="H283" s="104"/>
      <c r="I283" s="288"/>
      <c r="J283" s="288"/>
      <c r="K283" s="288"/>
      <c r="L283" s="288"/>
      <c r="M283" s="288"/>
      <c r="N283" s="288"/>
      <c r="O283" s="104"/>
      <c r="P283" s="288"/>
      <c r="Q283" s="288"/>
      <c r="R283" s="288"/>
      <c r="S283" s="288"/>
      <c r="T283" s="288"/>
      <c r="U283" s="288"/>
      <c r="V283" s="288"/>
      <c r="W283" s="288"/>
      <c r="X283" s="104"/>
      <c r="Y283" s="288"/>
      <c r="Z283" s="288"/>
      <c r="AA283" s="288"/>
      <c r="AB283" s="288"/>
      <c r="AC283" s="288"/>
      <c r="AD283" s="288"/>
      <c r="AE283" s="288"/>
      <c r="AF283" s="288"/>
      <c r="AG283" s="104"/>
      <c r="AH283" s="104"/>
      <c r="AI283" s="296"/>
      <c r="AJ283" s="296"/>
      <c r="AK283" s="296"/>
      <c r="AL283" s="296"/>
      <c r="AM283" s="296"/>
      <c r="AN283" s="296"/>
      <c r="AO283" s="296"/>
      <c r="AP283" s="296"/>
      <c r="AQ283" s="104"/>
      <c r="AR283" s="296"/>
      <c r="AS283" s="296"/>
      <c r="AT283" s="296"/>
      <c r="AU283" s="296"/>
      <c r="AV283" s="296"/>
      <c r="AW283" s="296"/>
      <c r="AX283" s="296"/>
      <c r="AY283" s="296"/>
      <c r="BA283" s="296"/>
      <c r="BB283" s="296"/>
      <c r="BC283" s="296"/>
      <c r="BD283" s="296"/>
      <c r="BE283" s="296"/>
      <c r="BF283" s="296"/>
      <c r="BG283" s="296"/>
      <c r="BH283" s="296"/>
      <c r="BI283" s="104"/>
      <c r="BJ283" s="296"/>
      <c r="BK283" s="296"/>
      <c r="BL283" s="296"/>
      <c r="BM283" s="296"/>
      <c r="BN283" s="296"/>
      <c r="BO283" s="296"/>
      <c r="BP283" s="296"/>
      <c r="BQ283" s="296"/>
      <c r="BS283" s="296"/>
      <c r="BT283" s="296"/>
      <c r="BU283" s="296"/>
      <c r="BV283" s="296"/>
      <c r="BW283" s="296"/>
      <c r="BX283" s="296"/>
      <c r="BY283" s="296"/>
      <c r="BZ283" s="296"/>
      <c r="CA283" s="104"/>
      <c r="CB283" s="296"/>
      <c r="CC283" s="296"/>
      <c r="CD283" s="296"/>
      <c r="CE283" s="296"/>
      <c r="CF283" s="296"/>
      <c r="CG283" s="296"/>
      <c r="CH283" s="296"/>
      <c r="CI283" s="296"/>
      <c r="CJ283" s="104"/>
      <c r="CK283" s="104"/>
      <c r="CL283" s="104"/>
      <c r="CM283" s="104"/>
      <c r="CN283" s="104"/>
      <c r="CO283" s="104"/>
    </row>
    <row r="284" spans="3:93" ht="12" customHeight="1" x14ac:dyDescent="0.25">
      <c r="C284" s="288"/>
      <c r="D284" s="288"/>
      <c r="E284" s="288"/>
      <c r="F284" s="288"/>
      <c r="G284" s="288"/>
      <c r="H284" s="104"/>
      <c r="I284" s="288"/>
      <c r="J284" s="288"/>
      <c r="K284" s="288"/>
      <c r="L284" s="288"/>
      <c r="M284" s="288"/>
      <c r="N284" s="288"/>
      <c r="O284" s="104"/>
      <c r="P284" s="288"/>
      <c r="Q284" s="288"/>
      <c r="R284" s="288"/>
      <c r="S284" s="288"/>
      <c r="T284" s="288"/>
      <c r="U284" s="288"/>
      <c r="V284" s="288"/>
      <c r="W284" s="288"/>
      <c r="X284" s="104"/>
      <c r="Y284" s="288"/>
      <c r="Z284" s="288"/>
      <c r="AA284" s="288"/>
      <c r="AB284" s="288"/>
      <c r="AC284" s="288"/>
      <c r="AD284" s="288"/>
      <c r="AE284" s="288"/>
      <c r="AF284" s="288"/>
      <c r="AG284" s="104"/>
      <c r="AH284" s="104"/>
      <c r="AI284" s="296"/>
      <c r="AJ284" s="296"/>
      <c r="AK284" s="296"/>
      <c r="AL284" s="296"/>
      <c r="AM284" s="296"/>
      <c r="AN284" s="296"/>
      <c r="AO284" s="296"/>
      <c r="AP284" s="296"/>
      <c r="AQ284" s="104"/>
      <c r="AR284" s="296"/>
      <c r="AS284" s="296"/>
      <c r="AT284" s="296"/>
      <c r="AU284" s="296"/>
      <c r="AV284" s="296"/>
      <c r="AW284" s="296"/>
      <c r="AX284" s="296"/>
      <c r="AY284" s="296"/>
      <c r="BA284" s="296"/>
      <c r="BB284" s="296"/>
      <c r="BC284" s="296"/>
      <c r="BD284" s="296"/>
      <c r="BE284" s="296"/>
      <c r="BF284" s="296"/>
      <c r="BG284" s="296"/>
      <c r="BH284" s="296"/>
      <c r="BI284" s="104"/>
      <c r="BJ284" s="296"/>
      <c r="BK284" s="296"/>
      <c r="BL284" s="296"/>
      <c r="BM284" s="296"/>
      <c r="BN284" s="296"/>
      <c r="BO284" s="296"/>
      <c r="BP284" s="296"/>
      <c r="BQ284" s="296"/>
      <c r="BS284" s="296"/>
      <c r="BT284" s="296"/>
      <c r="BU284" s="296"/>
      <c r="BV284" s="296"/>
      <c r="BW284" s="296"/>
      <c r="BX284" s="296"/>
      <c r="BY284" s="296"/>
      <c r="BZ284" s="296"/>
      <c r="CA284" s="104"/>
      <c r="CB284" s="296"/>
      <c r="CC284" s="296"/>
      <c r="CD284" s="296"/>
      <c r="CE284" s="296"/>
      <c r="CF284" s="296"/>
      <c r="CG284" s="296"/>
      <c r="CH284" s="296"/>
      <c r="CI284" s="296"/>
      <c r="CJ284" s="104"/>
      <c r="CK284" s="104"/>
      <c r="CL284" s="104"/>
      <c r="CM284" s="104"/>
      <c r="CN284" s="104"/>
      <c r="CO284" s="104"/>
    </row>
    <row r="285" spans="3:93" ht="12" customHeight="1" x14ac:dyDescent="0.25">
      <c r="C285" s="288"/>
      <c r="D285" s="288"/>
      <c r="E285" s="288"/>
      <c r="F285" s="288"/>
      <c r="G285" s="288"/>
      <c r="I285" s="288"/>
      <c r="J285" s="288"/>
      <c r="K285" s="288"/>
      <c r="L285" s="288"/>
      <c r="M285" s="288"/>
      <c r="N285" s="288"/>
      <c r="P285" s="288"/>
      <c r="Q285" s="288"/>
      <c r="R285" s="288"/>
      <c r="S285" s="288"/>
      <c r="T285" s="288"/>
      <c r="U285" s="288"/>
      <c r="V285" s="288"/>
      <c r="W285" s="288"/>
      <c r="Y285" s="288"/>
      <c r="Z285" s="288"/>
      <c r="AA285" s="288"/>
      <c r="AB285" s="288"/>
      <c r="AC285" s="288"/>
      <c r="AD285" s="288"/>
      <c r="AE285" s="288"/>
      <c r="AF285" s="288"/>
      <c r="AI285" s="296"/>
      <c r="AJ285" s="296"/>
      <c r="AK285" s="296"/>
      <c r="AL285" s="296"/>
      <c r="AM285" s="296"/>
      <c r="AN285" s="296"/>
      <c r="AO285" s="296"/>
      <c r="AP285" s="296"/>
      <c r="AR285" s="296"/>
      <c r="AS285" s="296"/>
      <c r="AT285" s="296"/>
      <c r="AU285" s="296"/>
      <c r="AV285" s="296"/>
      <c r="AW285" s="296"/>
      <c r="AX285" s="296"/>
      <c r="AY285" s="296"/>
      <c r="BA285" s="296"/>
      <c r="BB285" s="296"/>
      <c r="BC285" s="296"/>
      <c r="BD285" s="296"/>
      <c r="BE285" s="296"/>
      <c r="BF285" s="296"/>
      <c r="BG285" s="296"/>
      <c r="BH285" s="296"/>
      <c r="BJ285" s="296"/>
      <c r="BK285" s="296"/>
      <c r="BL285" s="296"/>
      <c r="BM285" s="296"/>
      <c r="BN285" s="296"/>
      <c r="BO285" s="296"/>
      <c r="BP285" s="296"/>
      <c r="BQ285" s="296"/>
      <c r="BS285" s="296"/>
      <c r="BT285" s="296"/>
      <c r="BU285" s="296"/>
      <c r="BV285" s="296"/>
      <c r="BW285" s="296"/>
      <c r="BX285" s="296"/>
      <c r="BY285" s="296"/>
      <c r="BZ285" s="296"/>
      <c r="CB285" s="296"/>
      <c r="CC285" s="296"/>
      <c r="CD285" s="296"/>
      <c r="CE285" s="296"/>
      <c r="CF285" s="296"/>
      <c r="CG285" s="296"/>
      <c r="CH285" s="296"/>
      <c r="CI285" s="296"/>
    </row>
    <row r="286" spans="3:93" ht="12" customHeight="1" x14ac:dyDescent="0.25">
      <c r="C286" s="288"/>
      <c r="D286" s="288"/>
      <c r="E286" s="288"/>
      <c r="F286" s="288"/>
      <c r="G286" s="288"/>
      <c r="I286" s="288"/>
      <c r="J286" s="288"/>
      <c r="K286" s="288"/>
      <c r="L286" s="288"/>
      <c r="M286" s="288"/>
      <c r="N286" s="288"/>
      <c r="P286" s="288"/>
      <c r="Q286" s="288"/>
      <c r="R286" s="288"/>
      <c r="S286" s="288"/>
      <c r="T286" s="288"/>
      <c r="U286" s="288"/>
      <c r="V286" s="288"/>
      <c r="W286" s="288"/>
      <c r="Y286" s="288"/>
      <c r="Z286" s="288"/>
      <c r="AA286" s="288"/>
      <c r="AB286" s="288"/>
      <c r="AC286" s="288"/>
      <c r="AD286" s="288"/>
      <c r="AE286" s="288"/>
      <c r="AF286" s="288"/>
      <c r="AI286" s="296"/>
      <c r="AJ286" s="296"/>
      <c r="AK286" s="296"/>
      <c r="AL286" s="296"/>
      <c r="AM286" s="296"/>
      <c r="AN286" s="296"/>
      <c r="AO286" s="296"/>
      <c r="AP286" s="296"/>
      <c r="AR286" s="296"/>
      <c r="AS286" s="296"/>
      <c r="AT286" s="296"/>
      <c r="AU286" s="296"/>
      <c r="AV286" s="296"/>
      <c r="AW286" s="296"/>
      <c r="AX286" s="296"/>
      <c r="AY286" s="296"/>
      <c r="BA286" s="296"/>
      <c r="BB286" s="296"/>
      <c r="BC286" s="296"/>
      <c r="BD286" s="296"/>
      <c r="BE286" s="296"/>
      <c r="BF286" s="296"/>
      <c r="BG286" s="296"/>
      <c r="BH286" s="296"/>
      <c r="BJ286" s="296"/>
      <c r="BK286" s="296"/>
      <c r="BL286" s="296"/>
      <c r="BM286" s="296"/>
      <c r="BN286" s="296"/>
      <c r="BO286" s="296"/>
      <c r="BP286" s="296"/>
      <c r="BQ286" s="296"/>
      <c r="BS286" s="296"/>
      <c r="BT286" s="296"/>
      <c r="BU286" s="296"/>
      <c r="BV286" s="296"/>
      <c r="BW286" s="296"/>
      <c r="BX286" s="296"/>
      <c r="BY286" s="296"/>
      <c r="BZ286" s="296"/>
      <c r="CB286" s="296"/>
      <c r="CC286" s="296"/>
      <c r="CD286" s="296"/>
      <c r="CE286" s="296"/>
      <c r="CF286" s="296"/>
      <c r="CG286" s="296"/>
      <c r="CH286" s="296"/>
      <c r="CI286" s="296"/>
    </row>
    <row r="287" spans="3:93" x14ac:dyDescent="0.25">
      <c r="C287" s="104"/>
      <c r="D287" s="104"/>
      <c r="E287" s="104"/>
      <c r="F287" s="104"/>
      <c r="G287" s="104"/>
    </row>
    <row r="290" spans="2:15" hidden="1" x14ac:dyDescent="0.25">
      <c r="B290" s="19"/>
      <c r="C290" s="20">
        <f>$D$14</f>
        <v>600837</v>
      </c>
      <c r="D290" s="271" t="str">
        <f>$D$16</f>
        <v>Milwaukee Area Technical College</v>
      </c>
      <c r="E290" s="271"/>
      <c r="F290" s="271"/>
      <c r="G290" s="271"/>
      <c r="H290" s="271"/>
      <c r="I290" s="271"/>
      <c r="J290" s="271"/>
      <c r="K290" s="271"/>
    </row>
    <row r="291" spans="2:15" hidden="1" x14ac:dyDescent="0.25"/>
    <row r="292" spans="2:15" ht="18" hidden="1" x14ac:dyDescent="0.25">
      <c r="B292" s="168" t="s">
        <v>2</v>
      </c>
      <c r="C292" s="169"/>
      <c r="D292" s="169"/>
      <c r="E292" s="169"/>
      <c r="F292" s="170"/>
      <c r="G292" s="169"/>
      <c r="H292" s="169"/>
      <c r="I292" s="169"/>
      <c r="J292" s="169"/>
      <c r="K292" s="169"/>
      <c r="L292" s="169"/>
      <c r="M292" s="169"/>
      <c r="N292" s="169"/>
    </row>
    <row r="293" spans="2:15" ht="119.25" hidden="1" customHeight="1" x14ac:dyDescent="0.25">
      <c r="B293" s="298" t="s">
        <v>75</v>
      </c>
      <c r="C293" s="298"/>
      <c r="D293" s="298"/>
      <c r="E293" s="298"/>
      <c r="F293" s="298"/>
      <c r="G293" s="298"/>
      <c r="H293" s="298"/>
      <c r="I293" s="298"/>
      <c r="J293" s="298"/>
      <c r="K293" s="298"/>
      <c r="L293" s="298"/>
      <c r="M293" s="298"/>
      <c r="N293" s="298"/>
      <c r="O293" s="6"/>
    </row>
    <row r="294" spans="2:15" ht="23.25" hidden="1" customHeight="1" x14ac:dyDescent="0.25">
      <c r="B294" s="297" t="s">
        <v>12</v>
      </c>
      <c r="C294" s="297"/>
      <c r="D294" s="297"/>
      <c r="E294" s="297"/>
      <c r="F294" s="297"/>
      <c r="G294" s="297"/>
      <c r="H294" s="297"/>
      <c r="I294" s="297"/>
      <c r="J294" s="297"/>
      <c r="K294" s="297"/>
      <c r="L294" s="297"/>
      <c r="M294" s="297"/>
      <c r="N294" s="297"/>
    </row>
    <row r="295" spans="2:15" hidden="1" x14ac:dyDescent="0.25"/>
    <row r="296" spans="2:15" ht="30.75" hidden="1" customHeight="1" x14ac:dyDescent="0.25">
      <c r="B296" s="12"/>
      <c r="C296" s="291" t="s">
        <v>11</v>
      </c>
      <c r="D296" s="291"/>
      <c r="E296" s="291"/>
      <c r="F296" s="292"/>
      <c r="G296" s="117"/>
      <c r="H296" s="110" t="str">
        <f>IF($G$296="", " &lt;=== Select from drop down list","")</f>
        <v xml:space="preserve"> &lt;=== Select from drop down list</v>
      </c>
    </row>
    <row r="297" spans="2:15" hidden="1" x14ac:dyDescent="0.25"/>
    <row r="298" spans="2:15" ht="26.25" hidden="1" customHeight="1" x14ac:dyDescent="0.25">
      <c r="B298" s="12"/>
      <c r="C298" s="291" t="str">
        <f>IF(G296="Yes", "Is the program exclusively distance ed (i.e., no campus)?","")</f>
        <v/>
      </c>
      <c r="D298" s="291"/>
      <c r="E298" s="291"/>
      <c r="F298" s="291"/>
      <c r="G298" s="111"/>
      <c r="H298" s="109" t="str">
        <f>IF(AND($G$296="Yes",G298=""), " &lt;=== Select from drop down list","")</f>
        <v/>
      </c>
    </row>
    <row r="299" spans="2:15" hidden="1" x14ac:dyDescent="0.25"/>
    <row r="300" spans="2:15" ht="26.25" hidden="1" customHeight="1" x14ac:dyDescent="0.25">
      <c r="B300" s="12"/>
      <c r="C300" s="291" t="str">
        <f>IF(G296="Yes", "Are there DE students out-of-state?","")</f>
        <v/>
      </c>
      <c r="D300" s="291"/>
      <c r="E300" s="291"/>
      <c r="F300" s="291"/>
      <c r="G300" s="111"/>
      <c r="H300" s="109" t="str">
        <f>IF(AND($G$296="Yes",G300=""), " &lt;=== Select from drop down list","")</f>
        <v/>
      </c>
    </row>
    <row r="301" spans="2:15" hidden="1" x14ac:dyDescent="0.25"/>
    <row r="302" spans="2:15" ht="26.25" hidden="1" customHeight="1" x14ac:dyDescent="0.25">
      <c r="B302" s="12"/>
      <c r="C302" s="291" t="str">
        <f>IF(G296="Yes", "Percentage (approximate) of the program delivered by distance:","")</f>
        <v/>
      </c>
      <c r="D302" s="291"/>
      <c r="E302" s="291"/>
      <c r="F302" s="291"/>
      <c r="G302" s="112"/>
      <c r="H302" s="110" t="str">
        <f>IF(AND($G$296="Yes",G302=""), " &lt;=== Select from drop down list","")</f>
        <v/>
      </c>
    </row>
    <row r="303" spans="2:15" hidden="1" x14ac:dyDescent="0.25"/>
    <row r="304" spans="2:15" ht="26.25" hidden="1" customHeight="1" x14ac:dyDescent="0.25">
      <c r="B304" s="12"/>
      <c r="C304" s="291" t="str">
        <f>IF(G296="Yes", "List of courses that are totally web based (i.e., no face-to-face instruction)","")</f>
        <v/>
      </c>
      <c r="D304" s="291"/>
      <c r="E304" s="291"/>
      <c r="F304" s="291"/>
      <c r="G304" s="291"/>
      <c r="H304" s="291"/>
      <c r="I304" s="291"/>
    </row>
    <row r="305" spans="2:9" ht="6.75" hidden="1" customHeight="1" x14ac:dyDescent="0.25"/>
    <row r="306" spans="2:9" hidden="1" x14ac:dyDescent="0.25">
      <c r="C306" s="113" t="str">
        <f>IF(G296="Yes","Course Number","")</f>
        <v/>
      </c>
      <c r="D306" s="286" t="str">
        <f>IF(G296="Yes","Course Title","")</f>
        <v/>
      </c>
      <c r="E306" s="286"/>
      <c r="F306" s="286"/>
      <c r="G306" s="113" t="str">
        <f>IF(G296="Yes","# of credits","")</f>
        <v/>
      </c>
      <c r="H306" s="113" t="str">
        <f>IF(G296="Yes","# lecture hours","")</f>
        <v/>
      </c>
      <c r="I306" s="113" t="str">
        <f>IF(G296="Yes","Core Course?","")</f>
        <v/>
      </c>
    </row>
    <row r="307" spans="2:9" hidden="1" x14ac:dyDescent="0.25">
      <c r="C307" s="116"/>
      <c r="D307" s="285"/>
      <c r="E307" s="285"/>
      <c r="F307" s="285"/>
      <c r="G307" s="115"/>
      <c r="H307" s="114"/>
      <c r="I307" s="111"/>
    </row>
    <row r="308" spans="2:9" hidden="1" x14ac:dyDescent="0.25">
      <c r="C308" s="116"/>
      <c r="D308" s="285"/>
      <c r="E308" s="285"/>
      <c r="F308" s="285"/>
      <c r="G308" s="115"/>
      <c r="H308" s="114"/>
      <c r="I308" s="111"/>
    </row>
    <row r="309" spans="2:9" hidden="1" x14ac:dyDescent="0.25">
      <c r="C309" s="116"/>
      <c r="D309" s="285"/>
      <c r="E309" s="285"/>
      <c r="F309" s="285"/>
      <c r="G309" s="115"/>
      <c r="H309" s="114"/>
      <c r="I309" s="111"/>
    </row>
    <row r="310" spans="2:9" hidden="1" x14ac:dyDescent="0.25">
      <c r="C310" s="116"/>
      <c r="D310" s="285"/>
      <c r="E310" s="285"/>
      <c r="F310" s="285"/>
      <c r="G310" s="115"/>
      <c r="H310" s="114"/>
      <c r="I310" s="111"/>
    </row>
    <row r="311" spans="2:9" hidden="1" x14ac:dyDescent="0.25">
      <c r="C311" s="116"/>
      <c r="D311" s="285"/>
      <c r="E311" s="285"/>
      <c r="F311" s="285"/>
      <c r="G311" s="115"/>
      <c r="H311" s="114"/>
      <c r="I311" s="111"/>
    </row>
    <row r="312" spans="2:9" hidden="1" x14ac:dyDescent="0.25">
      <c r="C312" s="116"/>
      <c r="D312" s="285"/>
      <c r="E312" s="285"/>
      <c r="F312" s="285"/>
      <c r="G312" s="115"/>
      <c r="H312" s="114"/>
      <c r="I312" s="111"/>
    </row>
    <row r="313" spans="2:9" hidden="1" x14ac:dyDescent="0.25">
      <c r="C313" s="116"/>
      <c r="D313" s="285"/>
      <c r="E313" s="285"/>
      <c r="F313" s="285"/>
      <c r="G313" s="115"/>
      <c r="H313" s="114"/>
      <c r="I313" s="111"/>
    </row>
    <row r="314" spans="2:9" hidden="1" x14ac:dyDescent="0.25">
      <c r="C314" s="116"/>
      <c r="D314" s="285"/>
      <c r="E314" s="285"/>
      <c r="F314" s="285"/>
      <c r="G314" s="115"/>
      <c r="H314" s="114"/>
      <c r="I314" s="111"/>
    </row>
    <row r="315" spans="2:9" hidden="1" x14ac:dyDescent="0.25">
      <c r="C315" s="116"/>
      <c r="D315" s="285"/>
      <c r="E315" s="285"/>
      <c r="F315" s="285"/>
      <c r="G315" s="115"/>
      <c r="H315" s="114"/>
      <c r="I315" s="111"/>
    </row>
    <row r="316" spans="2:9" hidden="1" x14ac:dyDescent="0.25">
      <c r="C316" s="116"/>
      <c r="D316" s="285"/>
      <c r="E316" s="285"/>
      <c r="F316" s="285"/>
      <c r="G316" s="115"/>
      <c r="H316" s="114"/>
      <c r="I316" s="111"/>
    </row>
    <row r="317" spans="2:9" hidden="1" x14ac:dyDescent="0.25">
      <c r="C317" s="116"/>
      <c r="D317" s="285"/>
      <c r="E317" s="285"/>
      <c r="F317" s="285"/>
      <c r="G317" s="115"/>
      <c r="H317" s="114"/>
      <c r="I317" s="111"/>
    </row>
    <row r="318" spans="2:9" hidden="1" x14ac:dyDescent="0.25">
      <c r="B318" s="19"/>
      <c r="C318" s="116"/>
      <c r="D318" s="285"/>
      <c r="E318" s="285"/>
      <c r="F318" s="285"/>
      <c r="G318" s="115"/>
      <c r="H318" s="114"/>
      <c r="I318" s="111"/>
    </row>
    <row r="319" spans="2:9" hidden="1" x14ac:dyDescent="0.25">
      <c r="B319" s="21"/>
      <c r="C319" s="116"/>
      <c r="D319" s="285"/>
      <c r="E319" s="285"/>
      <c r="F319" s="285"/>
      <c r="G319" s="115"/>
      <c r="H319" s="114"/>
      <c r="I319" s="111"/>
    </row>
    <row r="320" spans="2:9" hidden="1" x14ac:dyDescent="0.25">
      <c r="B320" s="19"/>
      <c r="C320" s="116"/>
      <c r="D320" s="285"/>
      <c r="E320" s="285"/>
      <c r="F320" s="285"/>
      <c r="G320" s="115"/>
      <c r="H320" s="114"/>
      <c r="I320" s="111"/>
    </row>
    <row r="321" spans="2:16" hidden="1" x14ac:dyDescent="0.25">
      <c r="B321" s="21"/>
      <c r="C321" s="116"/>
      <c r="D321" s="285"/>
      <c r="E321" s="285"/>
      <c r="F321" s="285"/>
      <c r="G321" s="115"/>
      <c r="H321" s="114"/>
      <c r="I321" s="111"/>
    </row>
    <row r="322" spans="2:16" hidden="1" x14ac:dyDescent="0.25"/>
    <row r="323" spans="2:16" hidden="1" x14ac:dyDescent="0.25"/>
    <row r="325" spans="2:16" x14ac:dyDescent="0.25">
      <c r="C325" s="20">
        <f>$D$14</f>
        <v>600837</v>
      </c>
      <c r="D325" s="271" t="str">
        <f>$D$16</f>
        <v>Milwaukee Area Technical College</v>
      </c>
      <c r="E325" s="271"/>
      <c r="F325" s="271"/>
      <c r="G325" s="271"/>
      <c r="H325" s="271"/>
      <c r="I325" s="271"/>
      <c r="J325" s="271"/>
      <c r="K325" s="271"/>
    </row>
    <row r="327" spans="2:16" ht="18" x14ac:dyDescent="0.25">
      <c r="B327" s="171" t="s">
        <v>43</v>
      </c>
      <c r="C327" s="172"/>
      <c r="D327" s="172"/>
      <c r="E327" s="172"/>
      <c r="F327" s="173"/>
      <c r="G327" s="172"/>
      <c r="H327" s="172"/>
      <c r="I327" s="172"/>
      <c r="J327" s="172"/>
      <c r="K327" s="172"/>
      <c r="L327" s="172"/>
      <c r="M327" s="172"/>
      <c r="N327" s="172"/>
    </row>
    <row r="329" spans="2:16" ht="29.25" customHeight="1" x14ac:dyDescent="0.25">
      <c r="C329" s="291" t="s">
        <v>93</v>
      </c>
      <c r="D329" s="291"/>
      <c r="E329" s="291"/>
      <c r="F329" s="292"/>
      <c r="G329" s="117" t="s">
        <v>110</v>
      </c>
      <c r="I329" s="14"/>
      <c r="O329" s="242" t="str">
        <f>IF(P329=1, "&lt;===", "")</f>
        <v/>
      </c>
      <c r="P329" s="227" t="str">
        <f>IF(AND(G329="Please Select",D349&lt;&gt;""), 1, "")</f>
        <v/>
      </c>
    </row>
    <row r="330" spans="2:16" x14ac:dyDescent="0.25">
      <c r="P330" s="3"/>
    </row>
    <row r="331" spans="2:16" ht="29.25" customHeight="1" x14ac:dyDescent="0.25">
      <c r="C331" s="291" t="s">
        <v>90</v>
      </c>
      <c r="D331" s="291"/>
      <c r="E331" s="291"/>
      <c r="F331" s="292"/>
      <c r="G331" s="117" t="s">
        <v>110</v>
      </c>
      <c r="O331" s="242" t="str">
        <f>IF(P331=1, "&lt;===", "")</f>
        <v/>
      </c>
      <c r="P331" s="227" t="str">
        <f>IF(AND(G331="Please Select",D349&lt;&gt;""), 1, "")</f>
        <v/>
      </c>
    </row>
    <row r="332" spans="2:16" x14ac:dyDescent="0.25">
      <c r="P332" s="3"/>
    </row>
    <row r="333" spans="2:16" x14ac:dyDescent="0.25">
      <c r="C333" s="86" t="str">
        <f>IF(G331="Yes", "List the Name(s) and Title(s):","")</f>
        <v>List the Name(s) and Title(s):</v>
      </c>
      <c r="P333" s="3"/>
    </row>
    <row r="334" spans="2:16" x14ac:dyDescent="0.25">
      <c r="C334" s="296" t="s">
        <v>121</v>
      </c>
      <c r="D334" s="296"/>
      <c r="E334" s="296"/>
      <c r="F334" s="296"/>
      <c r="G334" s="296"/>
      <c r="P334" s="3"/>
    </row>
    <row r="335" spans="2:16" x14ac:dyDescent="0.25">
      <c r="C335" s="296"/>
      <c r="D335" s="296"/>
      <c r="E335" s="296"/>
      <c r="F335" s="296"/>
      <c r="G335" s="296"/>
      <c r="P335" s="3"/>
    </row>
    <row r="336" spans="2:16" ht="29.25" customHeight="1" x14ac:dyDescent="0.25">
      <c r="C336" s="296"/>
      <c r="D336" s="296"/>
      <c r="E336" s="296"/>
      <c r="F336" s="296"/>
      <c r="G336" s="296"/>
      <c r="P336" s="3"/>
    </row>
    <row r="337" spans="2:20" ht="31.5" customHeight="1" x14ac:dyDescent="0.25">
      <c r="C337" s="296"/>
      <c r="D337" s="296"/>
      <c r="E337" s="296"/>
      <c r="F337" s="296"/>
      <c r="G337" s="296"/>
      <c r="P337" s="3"/>
    </row>
    <row r="338" spans="2:20" ht="26.25" customHeight="1" x14ac:dyDescent="0.25">
      <c r="C338" s="296"/>
      <c r="D338" s="296"/>
      <c r="E338" s="296"/>
      <c r="F338" s="296"/>
      <c r="G338" s="296"/>
      <c r="P338" s="3"/>
    </row>
    <row r="339" spans="2:20" x14ac:dyDescent="0.25">
      <c r="P339" s="3"/>
    </row>
    <row r="340" spans="2:20" x14ac:dyDescent="0.25">
      <c r="P340" s="3"/>
    </row>
    <row r="341" spans="2:20" ht="18.75" x14ac:dyDescent="0.25">
      <c r="C341" s="317" t="str">
        <f>"Which Month(s) Will Cohort(s) Begin in the " &amp; D4+2 &amp;" Calendar Year?"</f>
        <v>Which Month(s) Will Cohort(s) Begin in the 2019 Calendar Year?</v>
      </c>
      <c r="D341" s="317"/>
      <c r="E341" s="317"/>
      <c r="F341" s="342"/>
      <c r="G341" s="345" t="s">
        <v>117</v>
      </c>
      <c r="H341" s="346"/>
      <c r="I341" s="346"/>
      <c r="J341" s="346"/>
      <c r="K341" s="346"/>
      <c r="L341" s="346"/>
      <c r="M341" s="347"/>
      <c r="O341" s="226" t="str">
        <f>IF(P341=1, "&lt;===", "")</f>
        <v/>
      </c>
      <c r="P341" s="227" t="str">
        <f>IF(AND(G341="", D349&lt;&gt;""), 1, "")</f>
        <v/>
      </c>
      <c r="R341" s="3" t="s">
        <v>89</v>
      </c>
      <c r="S341" s="3">
        <f>IF(OR(G226="Please Select",G226="Yes"),67,67)</f>
        <v>67</v>
      </c>
      <c r="T341" s="217"/>
    </row>
    <row r="342" spans="2:20" ht="5.25" customHeight="1" x14ac:dyDescent="0.25">
      <c r="P342" s="3"/>
      <c r="R342" s="217"/>
      <c r="S342" s="217"/>
      <c r="T342" s="217"/>
    </row>
    <row r="343" spans="2:20" ht="18.75" x14ac:dyDescent="0.25">
      <c r="C343" s="343" t="str">
        <f>"Which Month(s) Will Cohort(s) Graduate in the " &amp; D4+2 &amp;" Calendar Year?"</f>
        <v>Which Month(s) Will Cohort(s) Graduate in the 2019 Calendar Year?</v>
      </c>
      <c r="D343" s="343"/>
      <c r="E343" s="343"/>
      <c r="F343" s="344"/>
      <c r="G343" s="345" t="s">
        <v>118</v>
      </c>
      <c r="H343" s="346"/>
      <c r="I343" s="346"/>
      <c r="J343" s="346"/>
      <c r="K343" s="346"/>
      <c r="L343" s="346"/>
      <c r="M343" s="347"/>
      <c r="O343" s="226" t="str">
        <f>IF(P343=1, "&lt;===", "")</f>
        <v/>
      </c>
      <c r="P343" s="227" t="str">
        <f>IF(AND(G343="", D349&lt;&gt;""), 1, "")</f>
        <v/>
      </c>
      <c r="R343" s="217"/>
      <c r="S343" s="217"/>
      <c r="T343" s="217"/>
    </row>
    <row r="344" spans="2:20" x14ac:dyDescent="0.25">
      <c r="P344" s="3"/>
    </row>
    <row r="345" spans="2:20" x14ac:dyDescent="0.25">
      <c r="P345" s="3"/>
    </row>
    <row r="346" spans="2:20" x14ac:dyDescent="0.25">
      <c r="P346" s="3"/>
    </row>
    <row r="347" spans="2:20" ht="49.5" customHeight="1" x14ac:dyDescent="0.25">
      <c r="B347" s="200"/>
      <c r="C347" s="201" t="s">
        <v>110</v>
      </c>
      <c r="D347" s="451" t="s">
        <v>78</v>
      </c>
      <c r="E347" s="451"/>
      <c r="F347" s="451"/>
      <c r="G347" s="451"/>
      <c r="H347" s="451"/>
      <c r="I347" s="451"/>
      <c r="J347" s="451"/>
      <c r="O347" s="242" t="str">
        <f>IF(P347=1, "&lt;===", "")</f>
        <v/>
      </c>
      <c r="P347" s="227" t="str">
        <f>IF(AND(C347="Please Select",D349&lt;&gt;""), 1, "")</f>
        <v/>
      </c>
    </row>
    <row r="348" spans="2:20" x14ac:dyDescent="0.25">
      <c r="C348" s="449" t="s">
        <v>76</v>
      </c>
      <c r="D348" s="449"/>
      <c r="E348" s="449"/>
      <c r="F348" s="449"/>
    </row>
    <row r="349" spans="2:20" x14ac:dyDescent="0.25">
      <c r="C349" t="s">
        <v>94</v>
      </c>
      <c r="D349" s="450" t="s">
        <v>122</v>
      </c>
      <c r="E349" s="450"/>
    </row>
    <row r="350" spans="2:20" x14ac:dyDescent="0.25">
      <c r="C350" t="s">
        <v>77</v>
      </c>
      <c r="D350" s="214">
        <v>43539</v>
      </c>
      <c r="E350" s="215" t="s">
        <v>79</v>
      </c>
    </row>
    <row r="353" spans="3:14" ht="18.75" x14ac:dyDescent="0.3">
      <c r="D353" s="448" t="str">
        <f>IF(AND(D349&lt;&gt;"", OR(P14=1, P16=1,P18=1,P21=1,P341=1,P343=1,P25=1,P28=1,P44=1,P66=1,P73=1,P74=1,P86=1,P107=1,P145=1,P182=1,P196=1,P226=1,P329=1,P331=1,P347=1)),"There are questions above that have not been answered.  Please review and complete prior to submission.", "")</f>
        <v/>
      </c>
      <c r="E353" s="448"/>
      <c r="F353" s="448"/>
      <c r="G353" s="448"/>
      <c r="H353" s="448"/>
      <c r="I353" s="448"/>
      <c r="J353" s="448"/>
      <c r="K353" s="448"/>
      <c r="L353" s="448"/>
      <c r="M353" s="448"/>
    </row>
    <row r="355" spans="3:14" ht="14.25" customHeight="1" x14ac:dyDescent="0.25"/>
    <row r="356" spans="3:14" ht="63" customHeight="1" x14ac:dyDescent="0.45">
      <c r="C356" s="269" t="str">
        <f>IF(D349&lt;&gt;"","Thank you for completing the "&amp;D4&amp;" Annual Report.  
Be sure to check your data then submit this completed template","")</f>
        <v>Thank you for completing the 2017 Annual Report.  
Be sure to check your data then submit this completed template</v>
      </c>
      <c r="D356" s="269"/>
      <c r="E356" s="269"/>
      <c r="F356" s="269"/>
      <c r="G356" s="269"/>
      <c r="H356" s="269"/>
      <c r="I356" s="269"/>
      <c r="J356" s="269"/>
      <c r="K356" s="269"/>
      <c r="L356" s="269"/>
      <c r="M356" s="269"/>
      <c r="N356" s="269"/>
    </row>
    <row r="357" spans="3:14" ht="28.5" x14ac:dyDescent="0.45">
      <c r="C357" s="252" t="str">
        <f>IF(D349&lt;&gt;"","no later than March 15, " &amp;D4+2 &amp; " by emailing annualreports@coaemsp.org","")</f>
        <v>no later than March 15, 2019 by emailing annualreports@coaemsp.org</v>
      </c>
      <c r="D357" s="252"/>
      <c r="E357" s="252"/>
      <c r="F357" s="252"/>
      <c r="G357" s="252"/>
      <c r="H357" s="252"/>
      <c r="I357" s="252"/>
      <c r="J357" s="252"/>
      <c r="K357" s="252"/>
      <c r="L357" s="252"/>
      <c r="M357" s="252"/>
      <c r="N357" s="252"/>
    </row>
  </sheetData>
  <sheetProtection algorithmName="SHA-512" hashValue="u2CAXohV3fBmFbro7f/TOBYLmyx1RVjyPTQVtVB8+ci3qZ/YZo+CfT6PHAQnD2qWuDdbcxu+tHvO4enhiampkA==" saltValue="0piS4tDM/OX0TwyooqNGEg==" spinCount="100000" sheet="1" objects="1" scenarios="1" formatRows="0" selectLockedCells="1"/>
  <customSheetViews>
    <customSheetView guid="{993DF57F-A792-4998-A444-891BBBD74251}" scale="110" showPageBreaks="1" printArea="1" topLeftCell="A55">
      <selection activeCell="F62" sqref="F62"/>
      <rowBreaks count="8" manualBreakCount="8">
        <brk id="42" max="68" man="1"/>
        <brk id="71" max="82" man="1"/>
        <brk id="93" max="82" man="1"/>
        <brk id="113" max="82" man="1"/>
        <brk id="148" max="82" man="1"/>
        <brk id="184" max="82" man="1"/>
        <brk id="228" max="16383" man="1"/>
        <brk id="287" max="82" man="1"/>
      </rowBreaks>
      <colBreaks count="6" manualBreakCount="6">
        <brk id="14" max="1048575" man="1"/>
        <brk id="33" min="42" max="70" man="1"/>
        <brk id="51" min="42" max="70" man="1"/>
        <brk id="69" max="1048575" man="1"/>
        <brk id="88" max="307" man="1"/>
        <brk id="106" max="307" man="1"/>
      </colBreaks>
      <pageMargins left="0.15" right="0.15" top="0.25" bottom="0.25" header="0" footer="0"/>
      <printOptions horizontalCentered="1" verticalCentered="1"/>
      <pageSetup scale="44" fitToHeight="0" pageOrder="overThenDown" orientation="landscape" r:id="rId1"/>
    </customSheetView>
  </customSheetViews>
  <mergeCells count="434">
    <mergeCell ref="D353:M353"/>
    <mergeCell ref="C348:F348"/>
    <mergeCell ref="D349:E349"/>
    <mergeCell ref="D347:J347"/>
    <mergeCell ref="C207:E207"/>
    <mergeCell ref="C208:E208"/>
    <mergeCell ref="C209:E209"/>
    <mergeCell ref="C210:E210"/>
    <mergeCell ref="B159:C159"/>
    <mergeCell ref="B161:D161"/>
    <mergeCell ref="I265:N286"/>
    <mergeCell ref="F216:G216"/>
    <mergeCell ref="F214:G214"/>
    <mergeCell ref="C211:E211"/>
    <mergeCell ref="C212:E212"/>
    <mergeCell ref="C213:E213"/>
    <mergeCell ref="C214:E214"/>
    <mergeCell ref="C205:E205"/>
    <mergeCell ref="C206:E206"/>
    <mergeCell ref="B192:N192"/>
    <mergeCell ref="B224:N224"/>
    <mergeCell ref="C226:F226"/>
    <mergeCell ref="C215:E215"/>
    <mergeCell ref="C216:E216"/>
    <mergeCell ref="BD42:BK42"/>
    <mergeCell ref="BL42:BP44"/>
    <mergeCell ref="AQ105:AQ106"/>
    <mergeCell ref="Z88:AF92"/>
    <mergeCell ref="AZ97:AZ98"/>
    <mergeCell ref="AR97:AX98"/>
    <mergeCell ref="Q88:W92"/>
    <mergeCell ref="AQ97:AQ98"/>
    <mergeCell ref="Q97:W98"/>
    <mergeCell ref="AR99:AX113"/>
    <mergeCell ref="BA99:BG113"/>
    <mergeCell ref="Q109:W113"/>
    <mergeCell ref="Q108:W108"/>
    <mergeCell ref="AZ75:AZ76"/>
    <mergeCell ref="BA77:BB77"/>
    <mergeCell ref="BJ77:BK77"/>
    <mergeCell ref="BJ78:BP78"/>
    <mergeCell ref="BD43:BH43"/>
    <mergeCell ref="Z87:AF87"/>
    <mergeCell ref="AI82:AO84"/>
    <mergeCell ref="AI87:AO87"/>
    <mergeCell ref="AI88:AO92"/>
    <mergeCell ref="Z101:AF101"/>
    <mergeCell ref="AQ75:AQ76"/>
    <mergeCell ref="BV108:CE108"/>
    <mergeCell ref="BV96:BZ96"/>
    <mergeCell ref="BV77:BW77"/>
    <mergeCell ref="BA97:BG98"/>
    <mergeCell ref="BC96:BG96"/>
    <mergeCell ref="BJ79:BP92"/>
    <mergeCell ref="Z85:AA85"/>
    <mergeCell ref="Q85:R85"/>
    <mergeCell ref="Z83:AF84"/>
    <mergeCell ref="AR85:AS85"/>
    <mergeCell ref="BT95:BU95"/>
    <mergeCell ref="BV95:BZ95"/>
    <mergeCell ref="Z103:AA103"/>
    <mergeCell ref="AI99:AO113"/>
    <mergeCell ref="AI97:AO98"/>
    <mergeCell ref="AI95:AJ95"/>
    <mergeCell ref="Y83:Y84"/>
    <mergeCell ref="AI85:AJ85"/>
    <mergeCell ref="Z104:AF108"/>
    <mergeCell ref="R96:V96"/>
    <mergeCell ref="R95:AA95"/>
    <mergeCell ref="Y97:Y98"/>
    <mergeCell ref="Z102:AA102"/>
    <mergeCell ref="Z97:AF98"/>
    <mergeCell ref="BV98:CE98"/>
    <mergeCell ref="BJ48:BP48"/>
    <mergeCell ref="BJ49:BP57"/>
    <mergeCell ref="BJ59:BP60"/>
    <mergeCell ref="BA48:BG48"/>
    <mergeCell ref="BA49:BB49"/>
    <mergeCell ref="BA52:BG52"/>
    <mergeCell ref="BA53:BB53"/>
    <mergeCell ref="BA55:BG56"/>
    <mergeCell ref="BA57:BB57"/>
    <mergeCell ref="BA59:BG60"/>
    <mergeCell ref="BV72:BZ72"/>
    <mergeCell ref="CA72:CE74"/>
    <mergeCell ref="BT72:BU72"/>
    <mergeCell ref="BV76:CE76"/>
    <mergeCell ref="CA94:CE96"/>
    <mergeCell ref="BV79:CE84"/>
    <mergeCell ref="BV86:CE86"/>
    <mergeCell ref="BV87:CE90"/>
    <mergeCell ref="BA80:BG92"/>
    <mergeCell ref="BV73:BZ73"/>
    <mergeCell ref="BV78:CE78"/>
    <mergeCell ref="BJ75:BP76"/>
    <mergeCell ref="BC95:BL95"/>
    <mergeCell ref="BU232:CC232"/>
    <mergeCell ref="CD232:CI233"/>
    <mergeCell ref="BC232:BK232"/>
    <mergeCell ref="BL232:BQ233"/>
    <mergeCell ref="AK232:AS232"/>
    <mergeCell ref="AT232:AY233"/>
    <mergeCell ref="BU233:BY233"/>
    <mergeCell ref="BS232:BT232"/>
    <mergeCell ref="BC233:BG233"/>
    <mergeCell ref="BA232:BB232"/>
    <mergeCell ref="AK233:AO233"/>
    <mergeCell ref="F208:G208"/>
    <mergeCell ref="B160:D160"/>
    <mergeCell ref="B164:D164"/>
    <mergeCell ref="B169:D169"/>
    <mergeCell ref="O132:Y132"/>
    <mergeCell ref="O138:Y138"/>
    <mergeCell ref="O144:Y144"/>
    <mergeCell ref="O169:Y169"/>
    <mergeCell ref="O175:Y175"/>
    <mergeCell ref="B186:N186"/>
    <mergeCell ref="O181:Y181"/>
    <mergeCell ref="Y240:AF261"/>
    <mergeCell ref="AI237:AL237"/>
    <mergeCell ref="P237:S237"/>
    <mergeCell ref="AU234:AY235"/>
    <mergeCell ref="AU262:AY262"/>
    <mergeCell ref="B153:C153"/>
    <mergeCell ref="B155:N155"/>
    <mergeCell ref="B156:D156"/>
    <mergeCell ref="P155:W161"/>
    <mergeCell ref="Z155:AG161"/>
    <mergeCell ref="T237:W237"/>
    <mergeCell ref="AC234:AG235"/>
    <mergeCell ref="AI232:AJ232"/>
    <mergeCell ref="B234:C234"/>
    <mergeCell ref="D233:G233"/>
    <mergeCell ref="L237:N237"/>
    <mergeCell ref="AC237:AF237"/>
    <mergeCell ref="Y237:AB237"/>
    <mergeCell ref="B222:N222"/>
    <mergeCell ref="B175:D175"/>
    <mergeCell ref="B176:D176"/>
    <mergeCell ref="B181:D181"/>
    <mergeCell ref="B182:D182"/>
    <mergeCell ref="B183:N183"/>
    <mergeCell ref="BS240:BZ261"/>
    <mergeCell ref="BS265:BZ286"/>
    <mergeCell ref="AM237:AP237"/>
    <mergeCell ref="CB240:CI261"/>
    <mergeCell ref="CB265:CI286"/>
    <mergeCell ref="CB237:CE237"/>
    <mergeCell ref="CF237:CH237"/>
    <mergeCell ref="BS237:BV237"/>
    <mergeCell ref="BW237:BY237"/>
    <mergeCell ref="AI240:AP261"/>
    <mergeCell ref="AI265:AP286"/>
    <mergeCell ref="BA265:BH286"/>
    <mergeCell ref="BJ240:BQ261"/>
    <mergeCell ref="BJ265:BQ286"/>
    <mergeCell ref="BM262:BQ262"/>
    <mergeCell ref="BE237:BH237"/>
    <mergeCell ref="BN237:BQ237"/>
    <mergeCell ref="AR265:AY286"/>
    <mergeCell ref="BA240:BH261"/>
    <mergeCell ref="BM234:BQ235"/>
    <mergeCell ref="BJ237:BM237"/>
    <mergeCell ref="AR237:AU237"/>
    <mergeCell ref="BA237:BD237"/>
    <mergeCell ref="AR240:AY261"/>
    <mergeCell ref="AV237:AY237"/>
    <mergeCell ref="F203:G203"/>
    <mergeCell ref="B145:D145"/>
    <mergeCell ref="B147:N147"/>
    <mergeCell ref="D189:K189"/>
    <mergeCell ref="F212:G212"/>
    <mergeCell ref="C203:E203"/>
    <mergeCell ref="F213:G213"/>
    <mergeCell ref="F215:G215"/>
    <mergeCell ref="F209:G209"/>
    <mergeCell ref="B146:N146"/>
    <mergeCell ref="C201:E201"/>
    <mergeCell ref="F201:G201"/>
    <mergeCell ref="F202:G202"/>
    <mergeCell ref="F210:G210"/>
    <mergeCell ref="F211:G211"/>
    <mergeCell ref="B158:C158"/>
    <mergeCell ref="I237:K237"/>
    <mergeCell ref="P240:W261"/>
    <mergeCell ref="Y105:Y106"/>
    <mergeCell ref="B82:D82"/>
    <mergeCell ref="B86:D86"/>
    <mergeCell ref="B90:N90"/>
    <mergeCell ref="B87:N87"/>
    <mergeCell ref="D95:K95"/>
    <mergeCell ref="B96:C96"/>
    <mergeCell ref="C106:D106"/>
    <mergeCell ref="B107:D107"/>
    <mergeCell ref="B100:N100"/>
    <mergeCell ref="C84:D84"/>
    <mergeCell ref="B92:C92"/>
    <mergeCell ref="P95:Q95"/>
    <mergeCell ref="P97:P98"/>
    <mergeCell ref="B85:C85"/>
    <mergeCell ref="Q87:W87"/>
    <mergeCell ref="Q83:W84"/>
    <mergeCell ref="P265:W286"/>
    <mergeCell ref="Y265:AF286"/>
    <mergeCell ref="P232:Q232"/>
    <mergeCell ref="B124:D124"/>
    <mergeCell ref="E237:G237"/>
    <mergeCell ref="R233:V233"/>
    <mergeCell ref="B162:D162"/>
    <mergeCell ref="B163:D163"/>
    <mergeCell ref="H198:J198"/>
    <mergeCell ref="G228:H228"/>
    <mergeCell ref="G226:H226"/>
    <mergeCell ref="B157:D157"/>
    <mergeCell ref="B125:D125"/>
    <mergeCell ref="B144:D144"/>
    <mergeCell ref="B139:D139"/>
    <mergeCell ref="B126:D126"/>
    <mergeCell ref="B132:D132"/>
    <mergeCell ref="K234:N235"/>
    <mergeCell ref="C237:D237"/>
    <mergeCell ref="B193:N193"/>
    <mergeCell ref="C202:E202"/>
    <mergeCell ref="B149:N149"/>
    <mergeCell ref="C200:H200"/>
    <mergeCell ref="R232:AA232"/>
    <mergeCell ref="D2:L2"/>
    <mergeCell ref="B7:N7"/>
    <mergeCell ref="D16:M16"/>
    <mergeCell ref="D18:E18"/>
    <mergeCell ref="F18:G18"/>
    <mergeCell ref="A5:F5"/>
    <mergeCell ref="B44:F44"/>
    <mergeCell ref="G44:H44"/>
    <mergeCell ref="B8:N8"/>
    <mergeCell ref="D42:K42"/>
    <mergeCell ref="D21:F21"/>
    <mergeCell ref="D30:N31"/>
    <mergeCell ref="E10:M10"/>
    <mergeCell ref="D25:E25"/>
    <mergeCell ref="B36:K36"/>
    <mergeCell ref="L36:N36"/>
    <mergeCell ref="C240:G261"/>
    <mergeCell ref="E28:N28"/>
    <mergeCell ref="C28:D28"/>
    <mergeCell ref="G25:M25"/>
    <mergeCell ref="B49:D49"/>
    <mergeCell ref="B48:N48"/>
    <mergeCell ref="B62:D62"/>
    <mergeCell ref="B78:N78"/>
    <mergeCell ref="B79:D79"/>
    <mergeCell ref="B110:N110"/>
    <mergeCell ref="B112:N112"/>
    <mergeCell ref="B103:C103"/>
    <mergeCell ref="B104:D104"/>
    <mergeCell ref="B109:N109"/>
    <mergeCell ref="C230:H230"/>
    <mergeCell ref="J196:N197"/>
    <mergeCell ref="B127:D127"/>
    <mergeCell ref="B123:C123"/>
    <mergeCell ref="D152:K152"/>
    <mergeCell ref="B184:N184"/>
    <mergeCell ref="F204:G204"/>
    <mergeCell ref="F205:G205"/>
    <mergeCell ref="F206:G206"/>
    <mergeCell ref="F207:G207"/>
    <mergeCell ref="AR52:AX53"/>
    <mergeCell ref="C341:F341"/>
    <mergeCell ref="C343:F343"/>
    <mergeCell ref="G341:M341"/>
    <mergeCell ref="G343:M343"/>
    <mergeCell ref="B30:C31"/>
    <mergeCell ref="AK43:AO43"/>
    <mergeCell ref="D33:N34"/>
    <mergeCell ref="B33:C34"/>
    <mergeCell ref="B32:N32"/>
    <mergeCell ref="P42:Q42"/>
    <mergeCell ref="R42:AA42"/>
    <mergeCell ref="AI42:AJ42"/>
    <mergeCell ref="AK42:AT42"/>
    <mergeCell ref="J43:N45"/>
    <mergeCell ref="B73:F73"/>
    <mergeCell ref="G73:H73"/>
    <mergeCell ref="B75:F75"/>
    <mergeCell ref="AH105:AH106"/>
    <mergeCell ref="B102:D102"/>
    <mergeCell ref="B101:D101"/>
    <mergeCell ref="B91:C91"/>
    <mergeCell ref="C265:G286"/>
    <mergeCell ref="AC262:AG262"/>
    <mergeCell ref="R43:W43"/>
    <mergeCell ref="AI54:AJ54"/>
    <mergeCell ref="Q49:T49"/>
    <mergeCell ref="Q48:W48"/>
    <mergeCell ref="Q79:W79"/>
    <mergeCell ref="S73:W73"/>
    <mergeCell ref="B68:N68"/>
    <mergeCell ref="B65:C65"/>
    <mergeCell ref="AR58:AX59"/>
    <mergeCell ref="AR48:AX48"/>
    <mergeCell ref="AI77:AO80"/>
    <mergeCell ref="AI48:AO48"/>
    <mergeCell ref="Q57:R57"/>
    <mergeCell ref="Q56:W56"/>
    <mergeCell ref="AI52:AO53"/>
    <mergeCell ref="Q53:R53"/>
    <mergeCell ref="AI75:AO76"/>
    <mergeCell ref="AK73:AO73"/>
    <mergeCell ref="AI64:AO69"/>
    <mergeCell ref="AR60:AX69"/>
    <mergeCell ref="AI60:AJ60"/>
    <mergeCell ref="Z77:AF81"/>
    <mergeCell ref="AR75:AX76"/>
    <mergeCell ref="AR49:AS49"/>
    <mergeCell ref="AR54:AS54"/>
    <mergeCell ref="AI49:AJ49"/>
    <mergeCell ref="B53:M53"/>
    <mergeCell ref="B51:C51"/>
    <mergeCell ref="B69:N69"/>
    <mergeCell ref="AE60:AF60"/>
    <mergeCell ref="Q52:W52"/>
    <mergeCell ref="AK96:AO96"/>
    <mergeCell ref="C83:D83"/>
    <mergeCell ref="AI58:AO59"/>
    <mergeCell ref="B58:M58"/>
    <mergeCell ref="Q77:R77"/>
    <mergeCell ref="Q80:R80"/>
    <mergeCell ref="Q61:W69"/>
    <mergeCell ref="Q75:W76"/>
    <mergeCell ref="Y75:Y76"/>
    <mergeCell ref="Z64:AF69"/>
    <mergeCell ref="Z75:AF76"/>
    <mergeCell ref="B63:D63"/>
    <mergeCell ref="B74:C74"/>
    <mergeCell ref="B80:D80"/>
    <mergeCell ref="B81:C81"/>
    <mergeCell ref="P75:P76"/>
    <mergeCell ref="B66:D66"/>
    <mergeCell ref="BM94:BQ96"/>
    <mergeCell ref="B67:N67"/>
    <mergeCell ref="AB232:AG233"/>
    <mergeCell ref="BJ99:BK99"/>
    <mergeCell ref="B88:N88"/>
    <mergeCell ref="B108:D108"/>
    <mergeCell ref="BA61:BG69"/>
    <mergeCell ref="BJ61:BP69"/>
    <mergeCell ref="AR87:AX87"/>
    <mergeCell ref="AR77:AX81"/>
    <mergeCell ref="AR83:AX84"/>
    <mergeCell ref="AR88:AX92"/>
    <mergeCell ref="BA75:BG76"/>
    <mergeCell ref="BA79:BG79"/>
    <mergeCell ref="BC73:BG73"/>
    <mergeCell ref="BA95:BB95"/>
    <mergeCell ref="P152:Q152"/>
    <mergeCell ref="R152:AA152"/>
    <mergeCell ref="R153:V153"/>
    <mergeCell ref="G75:H75"/>
    <mergeCell ref="AK95:AT95"/>
    <mergeCell ref="AQ83:AQ84"/>
    <mergeCell ref="B170:D170"/>
    <mergeCell ref="C204:E204"/>
    <mergeCell ref="C334:G338"/>
    <mergeCell ref="D325:K325"/>
    <mergeCell ref="B294:N294"/>
    <mergeCell ref="C302:F302"/>
    <mergeCell ref="C298:F298"/>
    <mergeCell ref="D290:K290"/>
    <mergeCell ref="C300:F300"/>
    <mergeCell ref="C296:F296"/>
    <mergeCell ref="B293:N293"/>
    <mergeCell ref="D308:F308"/>
    <mergeCell ref="D309:F309"/>
    <mergeCell ref="D310:F310"/>
    <mergeCell ref="D311:F311"/>
    <mergeCell ref="D312:F312"/>
    <mergeCell ref="D313:F313"/>
    <mergeCell ref="D320:F320"/>
    <mergeCell ref="D321:F321"/>
    <mergeCell ref="D314:F314"/>
    <mergeCell ref="D315:F315"/>
    <mergeCell ref="D316:F316"/>
    <mergeCell ref="D317:F317"/>
    <mergeCell ref="D318:F318"/>
    <mergeCell ref="C304:I304"/>
    <mergeCell ref="D307:F307"/>
    <mergeCell ref="C356:N356"/>
    <mergeCell ref="Z109:AF109"/>
    <mergeCell ref="Z110:AF113"/>
    <mergeCell ref="D116:K116"/>
    <mergeCell ref="B119:N119"/>
    <mergeCell ref="B120:D120"/>
    <mergeCell ref="B117:C117"/>
    <mergeCell ref="B113:C113"/>
    <mergeCell ref="P119:W124"/>
    <mergeCell ref="Z119:AG124"/>
    <mergeCell ref="P116:Q116"/>
    <mergeCell ref="R116:AA116"/>
    <mergeCell ref="R117:V117"/>
    <mergeCell ref="B121:D121"/>
    <mergeCell ref="B122:C122"/>
    <mergeCell ref="D319:F319"/>
    <mergeCell ref="D306:F306"/>
    <mergeCell ref="J226:N226"/>
    <mergeCell ref="I240:N261"/>
    <mergeCell ref="K262:N262"/>
    <mergeCell ref="C228:F228"/>
    <mergeCell ref="C329:F329"/>
    <mergeCell ref="C331:F331"/>
    <mergeCell ref="B138:D138"/>
    <mergeCell ref="C357:N357"/>
    <mergeCell ref="BB42:BC42"/>
    <mergeCell ref="D72:K72"/>
    <mergeCell ref="Q72:R72"/>
    <mergeCell ref="S72:AB72"/>
    <mergeCell ref="AI72:AJ72"/>
    <mergeCell ref="AK72:AT72"/>
    <mergeCell ref="BA72:BB72"/>
    <mergeCell ref="BC72:BL72"/>
    <mergeCell ref="AI62:AO63"/>
    <mergeCell ref="Z48:AF48"/>
    <mergeCell ref="Q59:W60"/>
    <mergeCell ref="Z49:AA49"/>
    <mergeCell ref="Z52:AF54"/>
    <mergeCell ref="Z55:AA55"/>
    <mergeCell ref="Z58:AF59"/>
    <mergeCell ref="Z62:AF63"/>
    <mergeCell ref="Z60:AA60"/>
    <mergeCell ref="AC60:AD60"/>
    <mergeCell ref="Q99:W107"/>
    <mergeCell ref="Z99:AA99"/>
    <mergeCell ref="Z100:AF100"/>
    <mergeCell ref="B223:N223"/>
    <mergeCell ref="B133:D133"/>
  </mergeCells>
  <conditionalFormatting sqref="G198">
    <cfRule type="expression" dxfId="712" priority="1695">
      <formula>G196="Yes"</formula>
    </cfRule>
  </conditionalFormatting>
  <conditionalFormatting sqref="B87:D87">
    <cfRule type="expression" dxfId="711" priority="1480" stopIfTrue="1">
      <formula>AND(N86&gt;=0.7,B87&lt;&gt;"")</formula>
    </cfRule>
    <cfRule type="expression" dxfId="710" priority="1672" stopIfTrue="1">
      <formula>AND(N86&lt;0.7,B87&lt;&gt;"")</formula>
    </cfRule>
  </conditionalFormatting>
  <conditionalFormatting sqref="E136:N136 B136">
    <cfRule type="expression" dxfId="709" priority="1646">
      <formula>MOD(ROW(),2)=1</formula>
    </cfRule>
  </conditionalFormatting>
  <conditionalFormatting sqref="E136:N136 B136">
    <cfRule type="expression" dxfId="708" priority="1645">
      <formula>MOD(ROW(),2)=1</formula>
    </cfRule>
  </conditionalFormatting>
  <conditionalFormatting sqref="E142:N142 B142">
    <cfRule type="expression" dxfId="707" priority="1638">
      <formula>MOD(ROW(),2)=1</formula>
    </cfRule>
  </conditionalFormatting>
  <conditionalFormatting sqref="E142:N142 B142">
    <cfRule type="expression" dxfId="706" priority="1637">
      <formula>MOD(ROW(),2)=1</formula>
    </cfRule>
  </conditionalFormatting>
  <conditionalFormatting sqref="E126:N126">
    <cfRule type="expression" dxfId="705" priority="1621">
      <formula>MOD(ROW(),2)=1</formula>
    </cfRule>
  </conditionalFormatting>
  <conditionalFormatting sqref="E126:N126">
    <cfRule type="expression" dxfId="704" priority="1620">
      <formula>MOD(ROW(),2)=1</formula>
    </cfRule>
  </conditionalFormatting>
  <conditionalFormatting sqref="B146:D146">
    <cfRule type="expression" dxfId="703" priority="1712">
      <formula>AND(N145=100%,B146&lt;&gt;"")</formula>
    </cfRule>
    <cfRule type="expression" dxfId="702" priority="1713">
      <formula>AND(N145&lt;100%,B146&lt;&gt;"")</formula>
    </cfRule>
  </conditionalFormatting>
  <conditionalFormatting sqref="E49:E52 F102:M104 E79:E84 E101:E106 F57:M57 E85:M85 E107:M107 F132:M132 F138:M138 F144:M144 F82 E54:E57 E59:E64 F62:M64 E120:E144 E156:E159 F159:N159 F169:M169 F175:M175 F181:M181 E161:E181 F157:M158 F126:N126 B126 E160:M160">
    <cfRule type="expression" dxfId="701" priority="1675">
      <formula>AND($D$4&lt;&gt;YEAR($E$51), $E$51&lt;&gt;0)</formula>
    </cfRule>
  </conditionalFormatting>
  <conditionalFormatting sqref="C228">
    <cfRule type="expression" dxfId="700" priority="1494">
      <formula>G226="No"</formula>
    </cfRule>
  </conditionalFormatting>
  <conditionalFormatting sqref="G228:H228">
    <cfRule type="expression" dxfId="699" priority="1493">
      <formula>G226="No"</formula>
    </cfRule>
  </conditionalFormatting>
  <conditionalFormatting sqref="C237">
    <cfRule type="expression" dxfId="698" priority="1492">
      <formula>G228&gt;=1</formula>
    </cfRule>
  </conditionalFormatting>
  <conditionalFormatting sqref="E237:G237">
    <cfRule type="expression" dxfId="697" priority="1491">
      <formula>G228&gt;=1</formula>
    </cfRule>
  </conditionalFormatting>
  <conditionalFormatting sqref="C230:H230">
    <cfRule type="expression" dxfId="696" priority="1490">
      <formula>G228&gt;=1</formula>
    </cfRule>
  </conditionalFormatting>
  <conditionalFormatting sqref="I237">
    <cfRule type="expression" dxfId="695" priority="1486">
      <formula>G228&gt;=2</formula>
    </cfRule>
  </conditionalFormatting>
  <conditionalFormatting sqref="O237">
    <cfRule type="expression" dxfId="694" priority="1485">
      <formula>I228&gt;=2</formula>
    </cfRule>
  </conditionalFormatting>
  <conditionalFormatting sqref="I240">
    <cfRule type="expression" dxfId="693" priority="1484">
      <formula>G228&gt;=2</formula>
    </cfRule>
  </conditionalFormatting>
  <conditionalFormatting sqref="I265">
    <cfRule type="expression" dxfId="692" priority="1483">
      <formula>G228&gt;=2</formula>
    </cfRule>
  </conditionalFormatting>
  <conditionalFormatting sqref="J226:N226">
    <cfRule type="expression" dxfId="691" priority="1482">
      <formula>G226="Yes"</formula>
    </cfRule>
  </conditionalFormatting>
  <conditionalFormatting sqref="N66">
    <cfRule type="expression" dxfId="690" priority="1397">
      <formula>AND($N$66&lt;0.7,$N$65&lt;=100%,$N$66&gt;0,$B$68="")</formula>
    </cfRule>
    <cfRule type="expression" dxfId="689" priority="1398">
      <formula>$N$66&gt;=0.7</formula>
    </cfRule>
  </conditionalFormatting>
  <conditionalFormatting sqref="N145">
    <cfRule type="expression" dxfId="688" priority="1280">
      <formula>AND(N145=100%,$B$147="")</formula>
    </cfRule>
    <cfRule type="expression" dxfId="687" priority="1476">
      <formula>AND(N124&lt;&gt;"",N145&lt;100%,N145&lt;&gt;"",$B$147="")</formula>
    </cfRule>
  </conditionalFormatting>
  <conditionalFormatting sqref="N86">
    <cfRule type="expression" dxfId="686" priority="1322">
      <formula>AND($N$86&gt;=0.7,$N$86&lt;=100%,$B$88="")</formula>
    </cfRule>
    <cfRule type="expression" dxfId="685" priority="1352">
      <formula>AND($N$83&lt;&gt;"",$N$84&lt;&gt;"",$N$86&lt;0.7,$N$86&lt;&gt;"",$B$88="")</formula>
    </cfRule>
  </conditionalFormatting>
  <conditionalFormatting sqref="B88">
    <cfRule type="expression" dxfId="684" priority="1745">
      <formula>B88&gt;""</formula>
    </cfRule>
  </conditionalFormatting>
  <conditionalFormatting sqref="C128">
    <cfRule type="expression" dxfId="683" priority="1441">
      <formula>MOD(ROW(),2)=1</formula>
    </cfRule>
  </conditionalFormatting>
  <conditionalFormatting sqref="C128">
    <cfRule type="expression" dxfId="682" priority="1440">
      <formula>MOD(ROW(),2)=1</formula>
    </cfRule>
  </conditionalFormatting>
  <conditionalFormatting sqref="D128">
    <cfRule type="expression" dxfId="681" priority="1439">
      <formula>MOD(ROW(),2)=1</formula>
    </cfRule>
  </conditionalFormatting>
  <conditionalFormatting sqref="D128">
    <cfRule type="expression" dxfId="680" priority="1438">
      <formula>MOD(ROW(),2)=1</formula>
    </cfRule>
  </conditionalFormatting>
  <conditionalFormatting sqref="C130:D130">
    <cfRule type="expression" dxfId="679" priority="1435">
      <formula>MOD(ROW(),2)=1</formula>
    </cfRule>
  </conditionalFormatting>
  <conditionalFormatting sqref="C130:D130">
    <cfRule type="expression" dxfId="678" priority="1434">
      <formula>MOD(ROW(),2)=1</formula>
    </cfRule>
  </conditionalFormatting>
  <conditionalFormatting sqref="C134:D134">
    <cfRule type="expression" dxfId="677" priority="1431">
      <formula>MOD(ROW(),2)=1</formula>
    </cfRule>
  </conditionalFormatting>
  <conditionalFormatting sqref="C134:D134">
    <cfRule type="expression" dxfId="676" priority="1430">
      <formula>MOD(ROW(),2)=1</formula>
    </cfRule>
  </conditionalFormatting>
  <conditionalFormatting sqref="C136:D136">
    <cfRule type="expression" dxfId="675" priority="1429">
      <formula>MOD(ROW(),2)=1</formula>
    </cfRule>
  </conditionalFormatting>
  <conditionalFormatting sqref="C136:D136">
    <cfRule type="expression" dxfId="674" priority="1428">
      <formula>MOD(ROW(),2)=1</formula>
    </cfRule>
  </conditionalFormatting>
  <conditionalFormatting sqref="C140:D140">
    <cfRule type="expression" dxfId="673" priority="1423">
      <formula>MOD(ROW(),2)=1</formula>
    </cfRule>
  </conditionalFormatting>
  <conditionalFormatting sqref="C140:D140">
    <cfRule type="expression" dxfId="672" priority="1422">
      <formula>MOD(ROW(),2)=1</formula>
    </cfRule>
  </conditionalFormatting>
  <conditionalFormatting sqref="C142:D142">
    <cfRule type="expression" dxfId="671" priority="1421">
      <formula>MOD(ROW(),2)=1</formula>
    </cfRule>
  </conditionalFormatting>
  <conditionalFormatting sqref="C142:D142">
    <cfRule type="expression" dxfId="670" priority="1420">
      <formula>MOD(ROW(),2)=1</formula>
    </cfRule>
  </conditionalFormatting>
  <conditionalFormatting sqref="G64:G66">
    <cfRule type="expression" dxfId="669" priority="1481" stopIfTrue="1">
      <formula>AND($G$65&gt;100%,$G$64&lt;&gt;"")</formula>
    </cfRule>
  </conditionalFormatting>
  <conditionalFormatting sqref="B68:N68">
    <cfRule type="expression" dxfId="668" priority="1408">
      <formula>B68&gt;""</formula>
    </cfRule>
  </conditionalFormatting>
  <conditionalFormatting sqref="F49:F52 F139:F143 G123:H123 F79:F81 F101 F105:F106 F59:F61 F133:F137 F83:F84 F54:F56 F120:F131 F156 F176:F180 F161:F168 F170:F174">
    <cfRule type="expression" dxfId="667" priority="1407">
      <formula>AND($D$4&lt;&gt;YEAR($F$51), $F$51&lt;&gt;0)</formula>
    </cfRule>
  </conditionalFormatting>
  <conditionalFormatting sqref="F52 F64 F66">
    <cfRule type="expression" dxfId="666" priority="1406" stopIfTrue="1">
      <formula>AND($F$65&gt;100%,$F$64&lt;&gt;"")</formula>
    </cfRule>
  </conditionalFormatting>
  <conditionalFormatting sqref="G49:G52 G120:G122 G139:G143 G124:G131 G79:G84 G101 G105:G106 G59:G61 G133:G137 G54:G56 G156 G176:G180 G161:G168 G170:G174">
    <cfRule type="expression" dxfId="665" priority="1403">
      <formula>AND($D$4&lt;&gt;YEAR($G$51), $G$51&lt;&gt;0)</formula>
    </cfRule>
  </conditionalFormatting>
  <conditionalFormatting sqref="H49:H52 H120:H122 H139:H143 H124:H131 H79:H84 H101 H105:H106 H59:H61 H133:H137 H54:H56 H156 H176:H180 H161:H168 H170:H174">
    <cfRule type="expression" dxfId="664" priority="1396">
      <formula>AND($D$4&lt;&gt;YEAR($H$51), $H$51&lt;&gt;0)</formula>
    </cfRule>
  </conditionalFormatting>
  <conditionalFormatting sqref="H52 H64 H66">
    <cfRule type="expression" dxfId="663" priority="1395">
      <formula>AND($H$65&gt;100%,$H$64&lt;&gt;"")</formula>
    </cfRule>
  </conditionalFormatting>
  <conditionalFormatting sqref="I49:I52 I139:I143 I79:I84 I101 I105:I106 I59:I61 I133:I137 I54:I56 I120:I131 I156 I176:I180 I161:I168 I170:I174">
    <cfRule type="expression" dxfId="662" priority="1392">
      <formula>AND($D$4&lt;&gt;YEAR($I$51), $I$51&lt;&gt;0)</formula>
    </cfRule>
  </conditionalFormatting>
  <conditionalFormatting sqref="J49:J52 J139:J143 J79:J84 J101 J105:J106 J59:J61 J133:J137 J54:J56 J120:J131 J156 J176:J180 J161:J168 J170:J174">
    <cfRule type="expression" dxfId="661" priority="1391">
      <formula>AND($D$4&lt;&gt;YEAR($J$51), $J$51&lt;&gt;0)</formula>
    </cfRule>
  </conditionalFormatting>
  <conditionalFormatting sqref="K49:K52 K139:K143 K79:K84 K101 K105:K106 K59:K61 K133:K137 K54:K56 K120:K131 K156 K176:K180 K161:K168 K170:K174">
    <cfRule type="expression" dxfId="660" priority="1390">
      <formula>AND($D$4&lt;&gt;YEAR($K$51), $K$51&lt;&gt;0)</formula>
    </cfRule>
  </conditionalFormatting>
  <conditionalFormatting sqref="L49:L52 L139:L143 L79:L84 L101 L105:L106 L59:L61 L133:L137 L54:L56 L120:L131 L156 L176:L180 L161:L168 L170:L174">
    <cfRule type="expression" dxfId="659" priority="1389">
      <formula>AND($D$4&lt;&gt;YEAR($L$51), $L$51&lt;&gt;0)</formula>
    </cfRule>
  </conditionalFormatting>
  <conditionalFormatting sqref="M49:M52 M139:M143 M79:M84 M101 M105:M106 M59:M61 M133:M137 M54:M56 M120:M131 M156 M176:M180 M161:M168 M170:M174">
    <cfRule type="expression" dxfId="658" priority="1388">
      <formula>AND($D$4&lt;&gt;YEAR($M$51), $M$51&lt;&gt;0)</formula>
    </cfRule>
  </conditionalFormatting>
  <conditionalFormatting sqref="I52 I64 I66">
    <cfRule type="expression" dxfId="657" priority="1387">
      <formula>AND($I$65&gt;100%,$I$64&lt;&gt;"")</formula>
    </cfRule>
  </conditionalFormatting>
  <conditionalFormatting sqref="K52 K64 K66">
    <cfRule type="expression" dxfId="656" priority="1385">
      <formula>AND($K$65&gt;100%,$K$64&lt;&gt;"")</formula>
    </cfRule>
  </conditionalFormatting>
  <conditionalFormatting sqref="L52 L64 L66">
    <cfRule type="expression" dxfId="655" priority="1384">
      <formula>AND($L$65&gt;100%,$L$64&lt;&gt;"")</formula>
    </cfRule>
  </conditionalFormatting>
  <conditionalFormatting sqref="M52 M64 M66">
    <cfRule type="expression" dxfId="654" priority="1383">
      <formula>AND($M$65&gt;100%,$M$64&lt;&gt;"")</formula>
    </cfRule>
  </conditionalFormatting>
  <conditionalFormatting sqref="J52 J64 J66">
    <cfRule type="expression" dxfId="653" priority="1380">
      <formula>AND($J$65&gt;100%,$J$64&lt;&gt;"")</formula>
    </cfRule>
  </conditionalFormatting>
  <conditionalFormatting sqref="E85:E86 E82">
    <cfRule type="expression" dxfId="652" priority="1537" stopIfTrue="1">
      <formula>AND($E$85&lt;&gt;"",$E$86&gt;100%)</formula>
    </cfRule>
  </conditionalFormatting>
  <conditionalFormatting sqref="F66">
    <cfRule type="expression" dxfId="651" priority="1404">
      <formula>AND($F$66&gt;=0.7,$F$66&lt;&gt;"",$B$68="")</formula>
    </cfRule>
    <cfRule type="expression" dxfId="650" priority="1405">
      <formula>AND($F$66&lt;0.7,$F$65&lt;=100%,$F$65&gt;0,$B$68="")</formula>
    </cfRule>
  </conditionalFormatting>
  <conditionalFormatting sqref="E66">
    <cfRule type="expression" dxfId="649" priority="1350">
      <formula>AND($E$66&lt;0.7,$E$65&lt;=100%,$E$65&gt;0,$B$68="")</formula>
    </cfRule>
    <cfRule type="expression" dxfId="648" priority="1351">
      <formula>AND($E$66&gt;=0.7,$E$66&lt;&gt;"",$B$68="")</formula>
    </cfRule>
  </conditionalFormatting>
  <conditionalFormatting sqref="F85:F86">
    <cfRule type="expression" dxfId="647" priority="1332">
      <formula>AND($F$85&lt;&gt;"",$F$86&gt;100%)</formula>
    </cfRule>
  </conditionalFormatting>
  <conditionalFormatting sqref="E86">
    <cfRule type="expression" dxfId="646" priority="1371" stopIfTrue="1">
      <formula>AND($E$86&gt;=0.7,$E$86&lt;=100%,$B$88="")</formula>
    </cfRule>
    <cfRule type="expression" dxfId="645" priority="1659" stopIfTrue="1">
      <formula>AND($E$86&lt;0.7,$E$83&lt;&gt;"",$E$84&lt;&gt;"",$B$88="")</formula>
    </cfRule>
  </conditionalFormatting>
  <conditionalFormatting sqref="F86">
    <cfRule type="expression" dxfId="644" priority="1330">
      <formula>AND($F$86&gt;=0.7,$F$86&lt;=100%,$B$88="")</formula>
    </cfRule>
    <cfRule type="expression" dxfId="643" priority="1331">
      <formula>AND($F$86&lt;0.7,$F$83&lt;&gt;"",$F$84&lt;&gt;"",$B$88="")</formula>
    </cfRule>
  </conditionalFormatting>
  <conditionalFormatting sqref="G86">
    <cfRule type="expression" dxfId="642" priority="1321">
      <formula>AND($G$86&lt;0.7,$G$83&lt;&gt;"",$G$84&lt;&gt;"",$B$88="")</formula>
    </cfRule>
    <cfRule type="expression" dxfId="641" priority="1329">
      <formula>AND($G$86&gt;=0.7,$G$86&lt;=100%,$B$88="")</formula>
    </cfRule>
  </conditionalFormatting>
  <conditionalFormatting sqref="H86">
    <cfRule type="expression" dxfId="640" priority="1320">
      <formula>AND($H$86&lt;0.7,$H$83&lt;&gt;"",$H$84&lt;&gt;"",$B$88="")</formula>
    </cfRule>
    <cfRule type="expression" dxfId="639" priority="1328">
      <formula>AND($H$86&gt;=0.7,$H$86&lt;=100%,$B$88="")</formula>
    </cfRule>
  </conditionalFormatting>
  <conditionalFormatting sqref="I86">
    <cfRule type="expression" dxfId="638" priority="1319">
      <formula>AND($I$86&lt;0.7,$I$83&lt;&gt;"",$I$84&lt;&gt;"",$B$88="")</formula>
    </cfRule>
    <cfRule type="expression" dxfId="637" priority="1327">
      <formula>AND($I$86&gt;=0.7,$I$86&lt;=100%,$B$88="")</formula>
    </cfRule>
  </conditionalFormatting>
  <conditionalFormatting sqref="J86">
    <cfRule type="expression" dxfId="636" priority="1318">
      <formula>AND($J$86&lt;0.7,$J$83&lt;&gt;"",$J$84&lt;&gt;"",$B$88="")</formula>
    </cfRule>
    <cfRule type="expression" dxfId="635" priority="1326">
      <formula>AND($J$86&gt;=0.7,$J$86&lt;=100%,$B$88="")</formula>
    </cfRule>
  </conditionalFormatting>
  <conditionalFormatting sqref="K86">
    <cfRule type="expression" dxfId="634" priority="1317">
      <formula>AND($K$86&lt;0.7,$K$83&lt;&gt;"",$K$84&lt;&gt;"",$B$88="")</formula>
    </cfRule>
    <cfRule type="expression" dxfId="633" priority="1325">
      <formula>AND($K$86&gt;=0.7,$K$86&lt;=100%,$B$88="")</formula>
    </cfRule>
  </conditionalFormatting>
  <conditionalFormatting sqref="L86">
    <cfRule type="expression" dxfId="632" priority="1316">
      <formula>AND($L$86&lt;0.7,$L$83&lt;&gt;"",$L$84&lt;&gt;"",$B$88="")</formula>
    </cfRule>
    <cfRule type="expression" dxfId="631" priority="1324">
      <formula>AND($L$86&gt;=0.7,$L$86&lt;=100%,$B$88="")</formula>
    </cfRule>
  </conditionalFormatting>
  <conditionalFormatting sqref="M86">
    <cfRule type="expression" dxfId="630" priority="1315">
      <formula>AND($M$86&lt;0.7,$M$83&lt;&gt;"",$M$84&lt;&gt;"",$B$88="")</formula>
    </cfRule>
    <cfRule type="expression" dxfId="629" priority="1323">
      <formula>AND($M$86&gt;=0.7,$M$86&lt;=100%,$B$88="")</formula>
    </cfRule>
  </conditionalFormatting>
  <conditionalFormatting sqref="G82 G85:G86">
    <cfRule type="expression" dxfId="628" priority="1314">
      <formula>AND($G$85&lt;&gt;"",$G$86&gt;100%)</formula>
    </cfRule>
  </conditionalFormatting>
  <conditionalFormatting sqref="H82 H85:H86">
    <cfRule type="expression" dxfId="627" priority="1313">
      <formula>AND($H$85&lt;&gt;"",$H$86&gt;100%)</formula>
    </cfRule>
  </conditionalFormatting>
  <conditionalFormatting sqref="I82 I85:I86">
    <cfRule type="expression" dxfId="626" priority="1312">
      <formula>AND($I$85&lt;&gt;"",$I$86&gt;100%)</formula>
    </cfRule>
  </conditionalFormatting>
  <conditionalFormatting sqref="J82 J85:J86">
    <cfRule type="expression" dxfId="625" priority="1311">
      <formula>AND($J$85&lt;&gt;"",$J$86&gt;100%)</formula>
    </cfRule>
  </conditionalFormatting>
  <conditionalFormatting sqref="K82 K85:K86">
    <cfRule type="expression" dxfId="624" priority="1310">
      <formula>AND($K$85&lt;&gt;"",$K$86&gt;100%)</formula>
    </cfRule>
  </conditionalFormatting>
  <conditionalFormatting sqref="L82 L85:L86">
    <cfRule type="expression" dxfId="623" priority="1309">
      <formula>AND($L$85&lt;&gt;"",$L$86&gt;100%)</formula>
    </cfRule>
  </conditionalFormatting>
  <conditionalFormatting sqref="M82 M85:M86">
    <cfRule type="expression" dxfId="622" priority="1308">
      <formula>AND($M$85&lt;&gt;"",$M$86&gt;100%)</formula>
    </cfRule>
  </conditionalFormatting>
  <conditionalFormatting sqref="Q49">
    <cfRule type="expression" dxfId="621" priority="1302">
      <formula>P48&lt;&gt;""</formula>
    </cfRule>
  </conditionalFormatting>
  <conditionalFormatting sqref="Q53">
    <cfRule type="expression" dxfId="620" priority="1299">
      <formula>P48&lt;&gt;""</formula>
    </cfRule>
  </conditionalFormatting>
  <conditionalFormatting sqref="B147:N147">
    <cfRule type="expression" dxfId="619" priority="1279">
      <formula>B147&lt;&gt;""</formula>
    </cfRule>
  </conditionalFormatting>
  <conditionalFormatting sqref="E124 E161">
    <cfRule type="expression" dxfId="618" priority="1268">
      <formula>$E$123&lt;$E$124</formula>
    </cfRule>
  </conditionalFormatting>
  <conditionalFormatting sqref="E124:E125 E161:E162">
    <cfRule type="expression" dxfId="617" priority="1267">
      <formula>OR($E$123&lt;$E$125,$E$124&lt;$E$125)</formula>
    </cfRule>
  </conditionalFormatting>
  <conditionalFormatting sqref="F124 F161">
    <cfRule type="expression" dxfId="616" priority="1266">
      <formula>$F$123&lt;$F$124</formula>
    </cfRule>
  </conditionalFormatting>
  <conditionalFormatting sqref="G124 G161">
    <cfRule type="expression" dxfId="615" priority="1265">
      <formula>$G$123&lt;$G$124</formula>
    </cfRule>
  </conditionalFormatting>
  <conditionalFormatting sqref="H124 H161">
    <cfRule type="expression" dxfId="614" priority="1264">
      <formula>$H$123&lt;$H$124</formula>
    </cfRule>
  </conditionalFormatting>
  <conditionalFormatting sqref="I124 I161">
    <cfRule type="expression" dxfId="613" priority="1263">
      <formula>$I$123&lt;$I$124</formula>
    </cfRule>
  </conditionalFormatting>
  <conditionalFormatting sqref="J124 J161">
    <cfRule type="expression" dxfId="612" priority="1262">
      <formula>$J$123&lt;$J$124</formula>
    </cfRule>
  </conditionalFormatting>
  <conditionalFormatting sqref="K124 K161">
    <cfRule type="expression" dxfId="611" priority="1261">
      <formula>$K$123&lt;$K$124</formula>
    </cfRule>
  </conditionalFormatting>
  <conditionalFormatting sqref="L124 L161">
    <cfRule type="expression" dxfId="610" priority="1260">
      <formula>$L$123&lt;$L$124</formula>
    </cfRule>
  </conditionalFormatting>
  <conditionalFormatting sqref="M124 M161">
    <cfRule type="expression" dxfId="609" priority="1259">
      <formula>$M$123&lt;$M$124</formula>
    </cfRule>
  </conditionalFormatting>
  <conditionalFormatting sqref="F124:F125 F161:F162">
    <cfRule type="expression" dxfId="608" priority="1258">
      <formula>OR($F$123&lt;$F$125,$F$124&lt;$F$125)</formula>
    </cfRule>
  </conditionalFormatting>
  <conditionalFormatting sqref="G124:G125 G161:G162">
    <cfRule type="expression" dxfId="607" priority="1257">
      <formula>OR($G$123&lt;$G$125,$G$124&lt;$G$125)</formula>
    </cfRule>
  </conditionalFormatting>
  <conditionalFormatting sqref="H124:H125 H161:H162">
    <cfRule type="expression" dxfId="606" priority="1256">
      <formula>OR($H$123&lt;$H$125,$H$124&lt;$H$125)</formula>
    </cfRule>
  </conditionalFormatting>
  <conditionalFormatting sqref="I124:I125 I161:I162">
    <cfRule type="expression" dxfId="605" priority="1255">
      <formula>OR($I$123&lt;$I$125,$I$124&lt;$I$125)</formula>
    </cfRule>
  </conditionalFormatting>
  <conditionalFormatting sqref="J124:J125 J161:J162">
    <cfRule type="expression" dxfId="604" priority="1254">
      <formula>OR($J$123&lt;$J$125,$J$124&lt;$J$125)</formula>
    </cfRule>
  </conditionalFormatting>
  <conditionalFormatting sqref="K124:K125 K161:K162">
    <cfRule type="expression" dxfId="603" priority="1253">
      <formula>OR($K$123&lt;$K$125,$K$124&lt;$K$125)</formula>
    </cfRule>
  </conditionalFormatting>
  <conditionalFormatting sqref="L124:L125 L161:L162">
    <cfRule type="expression" dxfId="602" priority="1252">
      <formula>OR($L$123&lt;$L$125,$L$124&lt;$L$125)</formula>
    </cfRule>
  </conditionalFormatting>
  <conditionalFormatting sqref="M124:M125 M161:M162">
    <cfRule type="expression" dxfId="601" priority="1251">
      <formula>OR($M$123&lt;$M$125,$M$124&lt;$M$125)</formula>
    </cfRule>
  </conditionalFormatting>
  <conditionalFormatting sqref="G125 O132">
    <cfRule type="expression" dxfId="600" priority="1015">
      <formula>AND($G$132&lt;&gt;$G$125,$G$132&lt;&gt;"")</formula>
    </cfRule>
    <cfRule type="expression" dxfId="599" priority="1248">
      <formula>AND($G$132&gt;$G$125,$G$132="")</formula>
    </cfRule>
  </conditionalFormatting>
  <conditionalFormatting sqref="H125 O132">
    <cfRule type="expression" dxfId="598" priority="1014">
      <formula>AND($H$132&lt;&gt;$H$125,$H$132&lt;&gt;"")</formula>
    </cfRule>
    <cfRule type="expression" dxfId="597" priority="1247">
      <formula>AND($H$132&gt;$H$125,$H$132="")</formula>
    </cfRule>
  </conditionalFormatting>
  <conditionalFormatting sqref="I125 O132">
    <cfRule type="expression" dxfId="596" priority="1013">
      <formula>AND($I$132&lt;&gt;$I$125,$I$132&lt;&gt;"")</formula>
    </cfRule>
    <cfRule type="expression" dxfId="595" priority="1245">
      <formula>AND($I$132&gt;$I$125,$I$132="")</formula>
    </cfRule>
  </conditionalFormatting>
  <conditionalFormatting sqref="K125 O132">
    <cfRule type="expression" dxfId="594" priority="1011">
      <formula>AND($K$132&lt;&gt;$K$125,$K$132&lt;&gt;"")</formula>
    </cfRule>
    <cfRule type="expression" dxfId="593" priority="1243">
      <formula>AND($K$132&gt;$K$125,$K$132="")</formula>
    </cfRule>
  </conditionalFormatting>
  <conditionalFormatting sqref="L125 O132">
    <cfRule type="expression" dxfId="592" priority="1010">
      <formula>AND($L$132&lt;&gt;$L$125,$L$132&lt;&gt;"")</formula>
    </cfRule>
    <cfRule type="expression" dxfId="591" priority="1024">
      <formula>AND($L$132&gt;$L$125,$L$132="")</formula>
    </cfRule>
  </conditionalFormatting>
  <conditionalFormatting sqref="M125 O132">
    <cfRule type="expression" dxfId="590" priority="1009">
      <formula>AND($M$132&lt;&gt;$M$125,$M$132&lt;&gt;"")</formula>
    </cfRule>
    <cfRule type="expression" dxfId="589" priority="1018">
      <formula>AND($M$132&gt;$M$125,$M$132="")</formula>
    </cfRule>
  </conditionalFormatting>
  <conditionalFormatting sqref="F144 F125 O144">
    <cfRule type="expression" dxfId="588" priority="709">
      <formula>AND($F$144&lt;$F$125,$F$144&lt;&gt;"")</formula>
    </cfRule>
    <cfRule type="expression" dxfId="587" priority="993">
      <formula>AND($F$144&gt;$F$125,$F$144&lt;&gt;"")</formula>
    </cfRule>
    <cfRule type="expression" dxfId="586" priority="1232">
      <formula>AND($F$144&lt;&gt;$F$125,$F$125&lt;&gt;"",$F$144="")</formula>
    </cfRule>
  </conditionalFormatting>
  <conditionalFormatting sqref="G144 G125 O144">
    <cfRule type="expression" dxfId="585" priority="708">
      <formula>AND($G$144&lt;$G$125,$G$144&lt;&gt;"")</formula>
    </cfRule>
    <cfRule type="expression" dxfId="584" priority="992">
      <formula>AND($G$144&gt;$G$125,$G$144&lt;&gt;"")</formula>
    </cfRule>
    <cfRule type="expression" dxfId="583" priority="1231">
      <formula>AND($G$144&lt;&gt;$G$125,$G$125&lt;&gt;"",$G$144="")</formula>
    </cfRule>
  </conditionalFormatting>
  <conditionalFormatting sqref="H144 H125 O144">
    <cfRule type="expression" dxfId="582" priority="707">
      <formula>AND($H$144&lt;$H$125,$H$144&lt;&gt;"")</formula>
    </cfRule>
    <cfRule type="expression" dxfId="581" priority="991">
      <formula>AND($H$144&gt;$H$125,$H$144&lt;&gt;"")</formula>
    </cfRule>
    <cfRule type="expression" dxfId="580" priority="1230">
      <formula>AND($H$144&lt;&gt;$H$125,$H$125&lt;&gt;"",$H$144="")</formula>
    </cfRule>
  </conditionalFormatting>
  <conditionalFormatting sqref="I144 I125 O144">
    <cfRule type="expression" dxfId="579" priority="706">
      <formula>AND($I$144&lt;$I$125,$I$144&lt;&gt;"")</formula>
    </cfRule>
    <cfRule type="expression" dxfId="578" priority="990">
      <formula>AND($I$144&gt;$I$125,$I$144&lt;&gt;"")</formula>
    </cfRule>
    <cfRule type="expression" dxfId="577" priority="1229">
      <formula>AND($I$144&lt;&gt;$I$125,$I$125&lt;&gt;"",$I$144="")</formula>
    </cfRule>
  </conditionalFormatting>
  <conditionalFormatting sqref="J144 J125 O144">
    <cfRule type="expression" dxfId="576" priority="705">
      <formula>AND($J$144&lt;$J$125,$J$144&lt;&gt;"")</formula>
    </cfRule>
    <cfRule type="expression" dxfId="575" priority="989">
      <formula>AND($J$144&gt;$J$125,$J$144&lt;&gt;"")</formula>
    </cfRule>
    <cfRule type="expression" dxfId="574" priority="1228">
      <formula>AND($J$144&lt;&gt;$J$125,$J$125&lt;&gt;"",$J$144="")</formula>
    </cfRule>
  </conditionalFormatting>
  <conditionalFormatting sqref="K144 K125 O144">
    <cfRule type="expression" dxfId="573" priority="704">
      <formula>AND($K$144&lt;$K$125,$K$144&lt;&gt;"")</formula>
    </cfRule>
    <cfRule type="expression" dxfId="572" priority="988">
      <formula>AND($K$144&gt;$K$125,$K$144&lt;&gt;"")</formula>
    </cfRule>
    <cfRule type="expression" dxfId="571" priority="1227">
      <formula>AND($K$144&lt;&gt;$K$125,$K$125&lt;&gt;"",$K$144="")</formula>
    </cfRule>
  </conditionalFormatting>
  <conditionalFormatting sqref="L144 L125 O144">
    <cfRule type="expression" dxfId="570" priority="703">
      <formula>AND($L$144&lt;$L$125,$L$144&lt;&gt;"")</formula>
    </cfRule>
    <cfRule type="expression" dxfId="569" priority="987">
      <formula>AND($L$144&gt;$L$125,$L$144&lt;&gt;"")</formula>
    </cfRule>
    <cfRule type="expression" dxfId="568" priority="1226">
      <formula>AND($L$144&lt;&gt;$L$125,$L$125&lt;&gt;"",$L$144="")</formula>
    </cfRule>
  </conditionalFormatting>
  <conditionalFormatting sqref="M144 M125 O144">
    <cfRule type="expression" dxfId="567" priority="702">
      <formula>AND($M$144&lt;$M$125,$M$144&lt;&gt;"")</formula>
    </cfRule>
    <cfRule type="expression" dxfId="566" priority="986">
      <formula>AND($M$144&gt;$M$125,$M$144&lt;&gt;"")</formula>
    </cfRule>
    <cfRule type="expression" dxfId="565" priority="1225">
      <formula>AND($M$144&lt;&gt;$M$125,$M$125&lt;&gt;"",$M$144="")</formula>
    </cfRule>
  </conditionalFormatting>
  <conditionalFormatting sqref="Q57">
    <cfRule type="expression" dxfId="564" priority="1224">
      <formula>P48&lt;&gt;""</formula>
    </cfRule>
  </conditionalFormatting>
  <conditionalFormatting sqref="Q61:W69">
    <cfRule type="expression" dxfId="563" priority="1223">
      <formula>P48&lt;&gt;""</formula>
    </cfRule>
  </conditionalFormatting>
  <conditionalFormatting sqref="Z49">
    <cfRule type="expression" dxfId="562" priority="1222">
      <formula>P48&lt;&gt;""</formula>
    </cfRule>
  </conditionalFormatting>
  <conditionalFormatting sqref="Z55">
    <cfRule type="expression" dxfId="561" priority="1221">
      <formula>P48&lt;&gt;""</formula>
    </cfRule>
  </conditionalFormatting>
  <conditionalFormatting sqref="Z60">
    <cfRule type="expression" dxfId="560" priority="1220">
      <formula>P48&lt;&gt;""</formula>
    </cfRule>
  </conditionalFormatting>
  <conditionalFormatting sqref="AE60">
    <cfRule type="expression" dxfId="559" priority="1218">
      <formula>($Z$60="No")</formula>
    </cfRule>
  </conditionalFormatting>
  <conditionalFormatting sqref="Z64:AF69">
    <cfRule type="expression" dxfId="558" priority="1217">
      <formula>P48&lt;&gt;""</formula>
    </cfRule>
  </conditionalFormatting>
  <conditionalFormatting sqref="AI49">
    <cfRule type="expression" dxfId="557" priority="1216">
      <formula>P48&lt;&gt;""</formula>
    </cfRule>
  </conditionalFormatting>
  <conditionalFormatting sqref="AI54">
    <cfRule type="expression" dxfId="556" priority="1215">
      <formula>AI49="Yes"</formula>
    </cfRule>
  </conditionalFormatting>
  <conditionalFormatting sqref="AI60 AI64:AO69">
    <cfRule type="expression" dxfId="555" priority="1214">
      <formula>$AI$49="Yes"</formula>
    </cfRule>
  </conditionalFormatting>
  <conditionalFormatting sqref="AI52:AO53">
    <cfRule type="expression" dxfId="554" priority="1212">
      <formula>$AI$49="No"</formula>
    </cfRule>
  </conditionalFormatting>
  <conditionalFormatting sqref="AI58:AO59">
    <cfRule type="expression" dxfId="553" priority="1211">
      <formula>$AI$49="No"</formula>
    </cfRule>
  </conditionalFormatting>
  <conditionalFormatting sqref="AI62:AO63">
    <cfRule type="expression" dxfId="552" priority="1210">
      <formula>$AI$49="No"</formula>
    </cfRule>
  </conditionalFormatting>
  <conditionalFormatting sqref="AR49">
    <cfRule type="expression" dxfId="551" priority="1209">
      <formula>AQ48&lt;&gt;""</formula>
    </cfRule>
  </conditionalFormatting>
  <conditionalFormatting sqref="AR54">
    <cfRule type="expression" dxfId="550" priority="1208">
      <formula>AQ48&lt;&gt;""</formula>
    </cfRule>
  </conditionalFormatting>
  <conditionalFormatting sqref="AR58:AX59">
    <cfRule type="expression" dxfId="549" priority="1207">
      <formula>AND($AR$49="No",$AR$54="No")</formula>
    </cfRule>
  </conditionalFormatting>
  <conditionalFormatting sqref="AR60:AX69">
    <cfRule type="expression" dxfId="548" priority="1202">
      <formula>OR($AR$49="Yes",$AR$54="Yes")</formula>
    </cfRule>
  </conditionalFormatting>
  <conditionalFormatting sqref="BA49">
    <cfRule type="expression" dxfId="547" priority="1201">
      <formula>AZ48&lt;&gt;""</formula>
    </cfRule>
  </conditionalFormatting>
  <conditionalFormatting sqref="BA53">
    <cfRule type="expression" dxfId="546" priority="1200">
      <formula>AZ52&lt;&gt;""</formula>
    </cfRule>
  </conditionalFormatting>
  <conditionalFormatting sqref="BA57">
    <cfRule type="expression" dxfId="545" priority="1199">
      <formula>BA53="Yes"</formula>
    </cfRule>
  </conditionalFormatting>
  <conditionalFormatting sqref="BA61:BG69">
    <cfRule type="expression" dxfId="544" priority="1198">
      <formula>OR($BA$49="Yes",$BA$53="Yes")</formula>
    </cfRule>
  </conditionalFormatting>
  <conditionalFormatting sqref="BA59:BG60">
    <cfRule type="expression" dxfId="543" priority="1197">
      <formula>AND($BA$49="No",$BA$53="No")</formula>
    </cfRule>
  </conditionalFormatting>
  <conditionalFormatting sqref="BJ49:BP57">
    <cfRule type="expression" dxfId="542" priority="1196">
      <formula>$BI$48&lt;&gt;""</formula>
    </cfRule>
  </conditionalFormatting>
  <conditionalFormatting sqref="BJ61:BP69">
    <cfRule type="expression" dxfId="541" priority="1195">
      <formula>$BI$59&lt;&gt;""</formula>
    </cfRule>
  </conditionalFormatting>
  <conditionalFormatting sqref="Q77">
    <cfRule type="expression" dxfId="540" priority="1192">
      <formula>$P$75&lt;&gt;""</formula>
    </cfRule>
  </conditionalFormatting>
  <conditionalFormatting sqref="Q80:R80">
    <cfRule type="expression" dxfId="539" priority="1191">
      <formula>$P$75&lt;&gt;""</formula>
    </cfRule>
  </conditionalFormatting>
  <conditionalFormatting sqref="Q83 X83:X84 X87 AG75:AG76 X105:X106 X109 AG97:AG98">
    <cfRule type="expression" dxfId="538" priority="1190">
      <formula>$Q$80="No"</formula>
    </cfRule>
  </conditionalFormatting>
  <conditionalFormatting sqref="Q85:R85">
    <cfRule type="expression" dxfId="537" priority="1189">
      <formula>$Q$80="Yes"</formula>
    </cfRule>
  </conditionalFormatting>
  <conditionalFormatting sqref="Q87">
    <cfRule type="expression" dxfId="536" priority="1188">
      <formula>$Q$80="No"</formula>
    </cfRule>
  </conditionalFormatting>
  <conditionalFormatting sqref="Q88:W92">
    <cfRule type="expression" dxfId="535" priority="1187">
      <formula>$Q$80="Yes"</formula>
    </cfRule>
  </conditionalFormatting>
  <conditionalFormatting sqref="Z77:AF81">
    <cfRule type="expression" dxfId="534" priority="1186">
      <formula>$Q$80="Yes"</formula>
    </cfRule>
  </conditionalFormatting>
  <conditionalFormatting sqref="Z75">
    <cfRule type="expression" dxfId="533" priority="1185">
      <formula>$Q$80="No"</formula>
    </cfRule>
  </conditionalFormatting>
  <conditionalFormatting sqref="Z87 Z86:AG86 AB85:AG85 AG107:AG108">
    <cfRule type="expression" dxfId="532" priority="1184">
      <formula>AND(N86&lt;0.7,N86&lt;&gt;0,B88="")</formula>
    </cfRule>
  </conditionalFormatting>
  <conditionalFormatting sqref="Z85:AA85">
    <cfRule type="expression" dxfId="531" priority="1183">
      <formula>$P$75&lt;&gt;""</formula>
    </cfRule>
  </conditionalFormatting>
  <conditionalFormatting sqref="Z88">
    <cfRule type="expression" dxfId="530" priority="1753">
      <formula>$P$75&lt;&gt;""</formula>
    </cfRule>
  </conditionalFormatting>
  <conditionalFormatting sqref="AI77:AO80">
    <cfRule type="expression" dxfId="529" priority="1182">
      <formula>$P$75&lt;&gt;""</formula>
    </cfRule>
  </conditionalFormatting>
  <conditionalFormatting sqref="AI85:AJ85">
    <cfRule type="expression" dxfId="528" priority="1181">
      <formula>$P$75&lt;&gt;""</formula>
    </cfRule>
  </conditionalFormatting>
  <conditionalFormatting sqref="AI87 AP87 AP109">
    <cfRule type="expression" dxfId="527" priority="1180">
      <formula>AI85="Yes"</formula>
    </cfRule>
  </conditionalFormatting>
  <conditionalFormatting sqref="AI88:AO92">
    <cfRule type="expression" dxfId="526" priority="1179">
      <formula>AI85="No"</formula>
    </cfRule>
  </conditionalFormatting>
  <conditionalFormatting sqref="AR77:AX81">
    <cfRule type="expression" dxfId="525" priority="1178">
      <formula>$P$75&lt;&gt;""</formula>
    </cfRule>
  </conditionalFormatting>
  <conditionalFormatting sqref="AR85:AS85">
    <cfRule type="expression" dxfId="524" priority="1177">
      <formula>$P$75&lt;&gt;""</formula>
    </cfRule>
  </conditionalFormatting>
  <conditionalFormatting sqref="AR87 AY87 AY109">
    <cfRule type="expression" dxfId="523" priority="1176">
      <formula>$AR$85="No"</formula>
    </cfRule>
  </conditionalFormatting>
  <conditionalFormatting sqref="AR88:AX92">
    <cfRule type="expression" dxfId="522" priority="1175">
      <formula>AR85="Yes"</formula>
    </cfRule>
  </conditionalFormatting>
  <conditionalFormatting sqref="BA77:BB77">
    <cfRule type="expression" dxfId="521" priority="1174">
      <formula>$P$75&lt;&gt;""</formula>
    </cfRule>
  </conditionalFormatting>
  <conditionalFormatting sqref="BA79 BH101">
    <cfRule type="expression" dxfId="520" priority="1172">
      <formula>$BA$77="No"</formula>
    </cfRule>
  </conditionalFormatting>
  <conditionalFormatting sqref="BA80:BG92">
    <cfRule type="expression" dxfId="519" priority="1171">
      <formula>$BA$77="Yes"</formula>
    </cfRule>
  </conditionalFormatting>
  <conditionalFormatting sqref="BJ77:BK77">
    <cfRule type="expression" dxfId="518" priority="1170">
      <formula>$P$75&lt;&gt;""</formula>
    </cfRule>
  </conditionalFormatting>
  <conditionalFormatting sqref="BJ79:BP92">
    <cfRule type="expression" dxfId="517" priority="1169">
      <formula>$BJ$77="Yes"</formula>
    </cfRule>
  </conditionalFormatting>
  <conditionalFormatting sqref="BJ78 BQ78 BQ100">
    <cfRule type="expression" dxfId="516" priority="1168">
      <formula>$BJ$77="No"</formula>
    </cfRule>
  </conditionalFormatting>
  <conditionalFormatting sqref="BV77:BW77">
    <cfRule type="expression" dxfId="515" priority="1167">
      <formula>$P$75&lt;&gt;""</formula>
    </cfRule>
  </conditionalFormatting>
  <conditionalFormatting sqref="BV78:CE78">
    <cfRule type="expression" dxfId="514" priority="1166">
      <formula>$BV$77="No"</formula>
    </cfRule>
  </conditionalFormatting>
  <conditionalFormatting sqref="BV79:CE84">
    <cfRule type="expression" dxfId="513" priority="1165">
      <formula>$BV$77="Yes"</formula>
    </cfRule>
  </conditionalFormatting>
  <conditionalFormatting sqref="BV87:CE90">
    <cfRule type="expression" dxfId="512" priority="1164">
      <formula>$P$75&lt;&gt;""</formula>
    </cfRule>
  </conditionalFormatting>
  <conditionalFormatting sqref="B109:D109">
    <cfRule type="expression" dxfId="511" priority="1157" stopIfTrue="1">
      <formula>AND(N108&gt;=0.7,B109&lt;&gt;"")</formula>
    </cfRule>
    <cfRule type="expression" dxfId="510" priority="1160" stopIfTrue="1">
      <formula>AND(N108&lt;0.7,B109&lt;&gt;"")</formula>
    </cfRule>
  </conditionalFormatting>
  <conditionalFormatting sqref="N108">
    <cfRule type="expression" dxfId="509" priority="1127">
      <formula>AND($N$108&gt;=0.7,$N$108&lt;=100%,$B$110="")</formula>
    </cfRule>
    <cfRule type="expression" dxfId="508" priority="1138">
      <formula>AND($N$105&lt;&gt;"",$N$106&lt;&gt;"",$N$108&lt;0.7,$N$108&lt;&gt;"",$B$110="")</formula>
    </cfRule>
  </conditionalFormatting>
  <conditionalFormatting sqref="B110">
    <cfRule type="expression" dxfId="507" priority="1162">
      <formula>B110&gt;""</formula>
    </cfRule>
  </conditionalFormatting>
  <conditionalFormatting sqref="E104 E107:E108">
    <cfRule type="expression" dxfId="506" priority="1158" stopIfTrue="1">
      <formula>AND($E$108&gt;100%,$E$107&lt;&gt;"")</formula>
    </cfRule>
  </conditionalFormatting>
  <conditionalFormatting sqref="F104 F107:F108">
    <cfRule type="expression" dxfId="505" priority="1137">
      <formula>AND($F$108&gt;100%,$F$107&lt;&gt;"")</formula>
    </cfRule>
  </conditionalFormatting>
  <conditionalFormatting sqref="E108">
    <cfRule type="expression" dxfId="504" priority="1148" stopIfTrue="1">
      <formula>AND($E$108&gt;=0.7,$E$108&lt;=100%,$B$110="")</formula>
    </cfRule>
    <cfRule type="expression" dxfId="503" priority="1159" stopIfTrue="1">
      <formula>AND($E$108&lt;0.7,$E$105&lt;&gt;"",$E$106&lt;&gt;"",$B$110="")</formula>
    </cfRule>
  </conditionalFormatting>
  <conditionalFormatting sqref="G104 G107">
    <cfRule type="expression" dxfId="502" priority="1119">
      <formula>AND($G$108&gt;100%,$G$107&lt;&gt;"")</formula>
    </cfRule>
  </conditionalFormatting>
  <conditionalFormatting sqref="H104 H107">
    <cfRule type="expression" dxfId="501" priority="1118">
      <formula>AND($H$108&gt;100%,$H$107&lt;&gt;"")</formula>
    </cfRule>
  </conditionalFormatting>
  <conditionalFormatting sqref="I104 I107">
    <cfRule type="expression" dxfId="500" priority="1117">
      <formula>AND($I$108&gt;100%,$I$107&lt;&gt;"")</formula>
    </cfRule>
  </conditionalFormatting>
  <conditionalFormatting sqref="J104 J107">
    <cfRule type="expression" dxfId="499" priority="1116">
      <formula>AND($J$108&gt;100%,$J$107&lt;&gt;"")</formula>
    </cfRule>
  </conditionalFormatting>
  <conditionalFormatting sqref="K104 K107">
    <cfRule type="expression" dxfId="498" priority="1115">
      <formula>AND($K$108&gt;100%,$K$107&lt;&gt;"")</formula>
    </cfRule>
  </conditionalFormatting>
  <conditionalFormatting sqref="L104 L107">
    <cfRule type="expression" dxfId="497" priority="1114">
      <formula>AND($L$108&gt;100%,$L$107&lt;&gt;"")</formula>
    </cfRule>
  </conditionalFormatting>
  <conditionalFormatting sqref="M104 M107">
    <cfRule type="expression" dxfId="496" priority="1113">
      <formula>AND($M$108&gt;100%,$M$107&lt;&gt;"")</formula>
    </cfRule>
  </conditionalFormatting>
  <conditionalFormatting sqref="Z99">
    <cfRule type="expression" dxfId="495" priority="1106">
      <formula>$P$97&lt;&gt;""</formula>
    </cfRule>
  </conditionalFormatting>
  <conditionalFormatting sqref="Z97">
    <cfRule type="expression" dxfId="494" priority="1105">
      <formula>$Q$80="No"</formula>
    </cfRule>
  </conditionalFormatting>
  <conditionalFormatting sqref="Z109">
    <cfRule type="expression" dxfId="493" priority="1104">
      <formula>AND(N110&lt;0.7,N110&lt;&gt;0,B112="")</formula>
    </cfRule>
  </conditionalFormatting>
  <conditionalFormatting sqref="Z110">
    <cfRule type="expression" dxfId="492" priority="1163">
      <formula>Z99="Yes"</formula>
    </cfRule>
  </conditionalFormatting>
  <conditionalFormatting sqref="P237">
    <cfRule type="expression" dxfId="491" priority="1084">
      <formula>G228&gt;=3</formula>
    </cfRule>
  </conditionalFormatting>
  <conditionalFormatting sqref="P240">
    <cfRule type="expression" dxfId="490" priority="1082">
      <formula>G228&gt;=3</formula>
    </cfRule>
  </conditionalFormatting>
  <conditionalFormatting sqref="P265">
    <cfRule type="expression" dxfId="489" priority="1081">
      <formula>G228&gt;=3</formula>
    </cfRule>
  </conditionalFormatting>
  <conditionalFormatting sqref="Y237">
    <cfRule type="expression" dxfId="488" priority="1080">
      <formula>G228&gt;=4</formula>
    </cfRule>
  </conditionalFormatting>
  <conditionalFormatting sqref="Y240">
    <cfRule type="expression" dxfId="487" priority="1078">
      <formula>G228&gt;=4</formula>
    </cfRule>
  </conditionalFormatting>
  <conditionalFormatting sqref="Y265">
    <cfRule type="expression" dxfId="486" priority="1077">
      <formula>G228&gt;=4</formula>
    </cfRule>
  </conditionalFormatting>
  <conditionalFormatting sqref="AI237">
    <cfRule type="expression" dxfId="485" priority="1076">
      <formula>G228&gt;=5</formula>
    </cfRule>
  </conditionalFormatting>
  <conditionalFormatting sqref="AI240">
    <cfRule type="expression" dxfId="484" priority="1074">
      <formula>G228&gt;=5</formula>
    </cfRule>
  </conditionalFormatting>
  <conditionalFormatting sqref="AI265">
    <cfRule type="expression" dxfId="483" priority="1073">
      <formula>G228&gt;=5</formula>
    </cfRule>
  </conditionalFormatting>
  <conditionalFormatting sqref="AR237">
    <cfRule type="expression" dxfId="482" priority="1072">
      <formula>G228&gt;=6</formula>
    </cfRule>
  </conditionalFormatting>
  <conditionalFormatting sqref="AR240">
    <cfRule type="expression" dxfId="481" priority="1070">
      <formula>G228&gt;=6</formula>
    </cfRule>
  </conditionalFormatting>
  <conditionalFormatting sqref="AR265">
    <cfRule type="expression" dxfId="480" priority="1069">
      <formula>G228&gt;=6</formula>
    </cfRule>
  </conditionalFormatting>
  <conditionalFormatting sqref="BA237">
    <cfRule type="expression" dxfId="479" priority="1068">
      <formula>G228&gt;=7</formula>
    </cfRule>
  </conditionalFormatting>
  <conditionalFormatting sqref="BA240">
    <cfRule type="expression" dxfId="478" priority="1066">
      <formula>G228&gt;=7</formula>
    </cfRule>
  </conditionalFormatting>
  <conditionalFormatting sqref="BA265">
    <cfRule type="expression" dxfId="477" priority="1065">
      <formula>G228&gt;=7</formula>
    </cfRule>
  </conditionalFormatting>
  <conditionalFormatting sqref="BJ237">
    <cfRule type="expression" dxfId="476" priority="1064">
      <formula>G228&gt;=8</formula>
    </cfRule>
  </conditionalFormatting>
  <conditionalFormatting sqref="BJ240">
    <cfRule type="expression" dxfId="475" priority="1062">
      <formula>G228&gt;=8</formula>
    </cfRule>
  </conditionalFormatting>
  <conditionalFormatting sqref="BJ265">
    <cfRule type="expression" dxfId="474" priority="1061">
      <formula>G228&gt;=8</formula>
    </cfRule>
  </conditionalFormatting>
  <conditionalFormatting sqref="BS237">
    <cfRule type="expression" dxfId="473" priority="1060">
      <formula>G228&gt;=9</formula>
    </cfRule>
  </conditionalFormatting>
  <conditionalFormatting sqref="BW237:BY237">
    <cfRule type="expression" dxfId="472" priority="1059">
      <formula>G228&gt;=9</formula>
    </cfRule>
  </conditionalFormatting>
  <conditionalFormatting sqref="BS240">
    <cfRule type="expression" dxfId="471" priority="1058">
      <formula>G228&gt;=9</formula>
    </cfRule>
  </conditionalFormatting>
  <conditionalFormatting sqref="BS265">
    <cfRule type="expression" dxfId="470" priority="1057">
      <formula>G228&gt;=9</formula>
    </cfRule>
  </conditionalFormatting>
  <conditionalFormatting sqref="CB237">
    <cfRule type="expression" dxfId="469" priority="1056">
      <formula>G228&gt;=10</formula>
    </cfRule>
  </conditionalFormatting>
  <conditionalFormatting sqref="CF237:CH237">
    <cfRule type="expression" dxfId="468" priority="1055">
      <formula>G228&gt;=10</formula>
    </cfRule>
  </conditionalFormatting>
  <conditionalFormatting sqref="CB240">
    <cfRule type="expression" dxfId="467" priority="1054">
      <formula>G228&gt;=10</formula>
    </cfRule>
  </conditionalFormatting>
  <conditionalFormatting sqref="CB265">
    <cfRule type="expression" dxfId="466" priority="1053">
      <formula>G228&gt;=10</formula>
    </cfRule>
  </conditionalFormatting>
  <conditionalFormatting sqref="CM262:CP262">
    <cfRule type="expression" dxfId="465" priority="1051">
      <formula>H228&gt;9</formula>
    </cfRule>
  </conditionalFormatting>
  <conditionalFormatting sqref="BM234">
    <cfRule type="expression" dxfId="464" priority="1049">
      <formula>G228&gt;8</formula>
    </cfRule>
  </conditionalFormatting>
  <conditionalFormatting sqref="AU262">
    <cfRule type="expression" dxfId="463" priority="1042">
      <formula>G228&gt;6</formula>
    </cfRule>
  </conditionalFormatting>
  <conditionalFormatting sqref="AC234:AG234">
    <cfRule type="expression" dxfId="462" priority="1041">
      <formula>G228&gt;4</formula>
    </cfRule>
  </conditionalFormatting>
  <conditionalFormatting sqref="AC262:AG262">
    <cfRule type="expression" dxfId="461" priority="1040">
      <formula>G228&gt;4</formula>
    </cfRule>
  </conditionalFormatting>
  <conditionalFormatting sqref="K234 O234">
    <cfRule type="expression" dxfId="460" priority="1037">
      <formula>G228&gt;2</formula>
    </cfRule>
  </conditionalFormatting>
  <conditionalFormatting sqref="K262 O262">
    <cfRule type="expression" dxfId="459" priority="1036">
      <formula>G228&gt;2</formula>
    </cfRule>
  </conditionalFormatting>
  <conditionalFormatting sqref="G25">
    <cfRule type="expression" dxfId="458" priority="1026">
      <formula>D25="No"</formula>
    </cfRule>
  </conditionalFormatting>
  <conditionalFormatting sqref="F125 O132">
    <cfRule type="expression" dxfId="457" priority="1016">
      <formula>AND($F$132&lt;&gt;$F$125,$F$132&lt;&gt;"")</formula>
    </cfRule>
    <cfRule type="expression" dxfId="456" priority="1249">
      <formula>AND($F$132&gt;$F$125,$F$132="")</formula>
    </cfRule>
  </conditionalFormatting>
  <conditionalFormatting sqref="J125 O132">
    <cfRule type="expression" dxfId="455" priority="1012">
      <formula>AND($J$132&lt;&gt;$J$125,$J$132&lt;&gt;"")</formula>
    </cfRule>
    <cfRule type="expression" dxfId="454" priority="1244">
      <formula>AND($J$132&gt;$J$125,$J$132="")</formula>
    </cfRule>
  </conditionalFormatting>
  <conditionalFormatting sqref="C248:D261">
    <cfRule type="expression" dxfId="453" priority="1754">
      <formula>G237&gt;=1</formula>
    </cfRule>
  </conditionalFormatting>
  <conditionalFormatting sqref="C287:D287">
    <cfRule type="expression" dxfId="452" priority="1756">
      <formula>G251&gt;=1</formula>
    </cfRule>
  </conditionalFormatting>
  <conditionalFormatting sqref="F138 F125 O138">
    <cfRule type="expression" dxfId="451" priority="718">
      <formula>AND($F$138&lt;$F$125,$F$138&lt;&gt;"")</formula>
    </cfRule>
    <cfRule type="expression" dxfId="450" priority="1002">
      <formula>AND($F$138&gt;$F$125,$F$138&lt;&gt;"")</formula>
    </cfRule>
    <cfRule type="expression" dxfId="449" priority="1241">
      <formula>AND($F$138&lt;&gt;$F$125,$F$125&lt;&gt;"",$F$138="")</formula>
    </cfRule>
  </conditionalFormatting>
  <conditionalFormatting sqref="G138 G125 O138">
    <cfRule type="expression" dxfId="448" priority="717">
      <formula>AND($G$138&lt;$G$125,$G$138&lt;&gt;"")</formula>
    </cfRule>
    <cfRule type="expression" dxfId="447" priority="1001">
      <formula>AND($G$138&gt;$G$125,$G$138&lt;&gt;"")</formula>
    </cfRule>
    <cfRule type="expression" dxfId="446" priority="1240">
      <formula>AND($G$138&lt;&gt;$G$125,$G$125&lt;&gt;"",$G$138="")</formula>
    </cfRule>
  </conditionalFormatting>
  <conditionalFormatting sqref="H138 H125 O138">
    <cfRule type="expression" dxfId="445" priority="716">
      <formula>AND($H$138&lt;$H$125,$H$138&lt;&gt;"")</formula>
    </cfRule>
    <cfRule type="expression" dxfId="444" priority="1000">
      <formula>AND($H$138&gt;$H$125,$H$138&lt;&gt;"")</formula>
    </cfRule>
    <cfRule type="expression" dxfId="443" priority="1239">
      <formula>AND($H$138&lt;&gt;$H$125,$H$125&lt;&gt;"",$H$138="")</formula>
    </cfRule>
  </conditionalFormatting>
  <conditionalFormatting sqref="I138 I125 O138">
    <cfRule type="expression" dxfId="442" priority="715">
      <formula>AND($I$138&lt;$I$125,$I$138&lt;&gt;"")</formula>
    </cfRule>
    <cfRule type="expression" dxfId="441" priority="999">
      <formula>AND($I$138&gt;$I$125,$I$138&lt;&gt;"")</formula>
    </cfRule>
    <cfRule type="expression" dxfId="440" priority="1238">
      <formula>AND($I$138&lt;&gt;$I$125,$I$125&lt;&gt;"",$I$138="")</formula>
    </cfRule>
  </conditionalFormatting>
  <conditionalFormatting sqref="J138 J125 O138">
    <cfRule type="expression" dxfId="439" priority="714">
      <formula>AND($J$138&lt;$J$125,$J$138&lt;&gt;"")</formula>
    </cfRule>
    <cfRule type="expression" dxfId="438" priority="998">
      <formula>AND($J$138&gt;$J$125,$J$138&lt;&gt;"")</formula>
    </cfRule>
    <cfRule type="expression" dxfId="437" priority="1237">
      <formula>AND($J$138&lt;&gt;$J$125,$J$125&lt;&gt;"",$J$138="")</formula>
    </cfRule>
  </conditionalFormatting>
  <conditionalFormatting sqref="K138 K125 O138">
    <cfRule type="expression" dxfId="436" priority="713">
      <formula>AND($K$138&lt;$K$125,$K$138&lt;&gt;"")</formula>
    </cfRule>
    <cfRule type="expression" dxfId="435" priority="997">
      <formula>AND($K$138&gt;$K$125,$K$138&lt;&gt;"")</formula>
    </cfRule>
    <cfRule type="expression" dxfId="434" priority="1236">
      <formula>AND($K$138&lt;&gt;$K$125,$K$125&lt;&gt;"",$K$138="")</formula>
    </cfRule>
  </conditionalFormatting>
  <conditionalFormatting sqref="L138 L125 O138">
    <cfRule type="expression" dxfId="433" priority="712">
      <formula>AND($L$138&lt;$L$125,$L$138&lt;&gt;"")</formula>
    </cfRule>
    <cfRule type="expression" dxfId="432" priority="996">
      <formula>AND($L$138&gt;$L$125,$L$138&lt;&gt;"")</formula>
    </cfRule>
    <cfRule type="expression" dxfId="431" priority="1235">
      <formula>AND($L$138&lt;&gt;$L$125,$L$125&lt;&gt;"",$L$138="")</formula>
    </cfRule>
  </conditionalFormatting>
  <conditionalFormatting sqref="M138 M125 O138">
    <cfRule type="expression" dxfId="430" priority="711">
      <formula>AND($M$138&lt;$M$125,$M$138&lt;&gt;"")</formula>
    </cfRule>
    <cfRule type="expression" dxfId="429" priority="995">
      <formula>AND($M$138&gt;$M$125,$M$138&lt;&gt;"")</formula>
    </cfRule>
    <cfRule type="expression" dxfId="428" priority="1234">
      <formula>AND($M$138&lt;&gt;$M$125,$M$125&lt;&gt;"",$M$138="")</formula>
    </cfRule>
  </conditionalFormatting>
  <conditionalFormatting sqref="G298 C308:C311 C313 C315:C318 C319:G321 D308:F310 C312:F312 C314:F314 G308:G318 H308:H321 D316:F317">
    <cfRule type="expression" dxfId="427" priority="985">
      <formula>$G$296="Yes"</formula>
    </cfRule>
  </conditionalFormatting>
  <conditionalFormatting sqref="G300">
    <cfRule type="expression" dxfId="426" priority="984">
      <formula>$G$296="Yes"</formula>
    </cfRule>
  </conditionalFormatting>
  <conditionalFormatting sqref="G302">
    <cfRule type="expression" dxfId="425" priority="983">
      <formula>$G$296="Yes"</formula>
    </cfRule>
  </conditionalFormatting>
  <conditionalFormatting sqref="C306:D306 G306:I306">
    <cfRule type="expression" dxfId="424" priority="982">
      <formula>$G$296="Yes"</formula>
    </cfRule>
  </conditionalFormatting>
  <conditionalFormatting sqref="D306:F306">
    <cfRule type="expression" dxfId="423" priority="981">
      <formula>$G$296="Yes"</formula>
    </cfRule>
  </conditionalFormatting>
  <conditionalFormatting sqref="I307:I321">
    <cfRule type="expression" dxfId="422" priority="980">
      <formula>$G$296="Yes"</formula>
    </cfRule>
  </conditionalFormatting>
  <conditionalFormatting sqref="C307">
    <cfRule type="expression" dxfId="421" priority="979">
      <formula>$G$296="Yes"</formula>
    </cfRule>
  </conditionalFormatting>
  <conditionalFormatting sqref="D307:F307">
    <cfRule type="expression" dxfId="420" priority="978">
      <formula>$G$296="Yes"</formula>
    </cfRule>
  </conditionalFormatting>
  <conditionalFormatting sqref="D311:F311">
    <cfRule type="expression" dxfId="419" priority="977">
      <formula>$G$296="Yes"</formula>
    </cfRule>
  </conditionalFormatting>
  <conditionalFormatting sqref="D313:F313">
    <cfRule type="expression" dxfId="418" priority="976">
      <formula>$G$296="Yes"</formula>
    </cfRule>
  </conditionalFormatting>
  <conditionalFormatting sqref="G307">
    <cfRule type="expression" dxfId="417" priority="974">
      <formula>$G$296="Yes"</formula>
    </cfRule>
  </conditionalFormatting>
  <conditionalFormatting sqref="H307">
    <cfRule type="expression" dxfId="416" priority="973">
      <formula>$G$296="Yes"</formula>
    </cfRule>
  </conditionalFormatting>
  <conditionalFormatting sqref="D315:F315">
    <cfRule type="expression" dxfId="415" priority="972">
      <formula>$G$296="Yes"</formula>
    </cfRule>
  </conditionalFormatting>
  <conditionalFormatting sqref="D318:F318">
    <cfRule type="expression" dxfId="414" priority="971">
      <formula>$G$296="Yes"</formula>
    </cfRule>
  </conditionalFormatting>
  <conditionalFormatting sqref="H246">
    <cfRule type="expression" dxfId="413" priority="1758">
      <formula>F234&gt;=1</formula>
    </cfRule>
  </conditionalFormatting>
  <conditionalFormatting sqref="H271">
    <cfRule type="expression" dxfId="412" priority="1760">
      <formula>F234&gt;=1</formula>
    </cfRule>
  </conditionalFormatting>
  <conditionalFormatting sqref="F248:G248">
    <cfRule type="expression" dxfId="411" priority="1762">
      <formula>D234&gt;=1</formula>
    </cfRule>
  </conditionalFormatting>
  <conditionalFormatting sqref="C246 F249:G261 E248:E261">
    <cfRule type="expression" dxfId="410" priority="1763">
      <formula>#REF!&gt;=1</formula>
    </cfRule>
  </conditionalFormatting>
  <conditionalFormatting sqref="C247 D246:D247 C240:G242">
    <cfRule type="expression" dxfId="409" priority="1773">
      <formula>G228&gt;=1</formula>
    </cfRule>
  </conditionalFormatting>
  <conditionalFormatting sqref="C244:G245">
    <cfRule type="expression" dxfId="408" priority="1791">
      <formula>G231&gt;=1</formula>
    </cfRule>
  </conditionalFormatting>
  <conditionalFormatting sqref="C265">
    <cfRule type="expression" dxfId="407" priority="1794">
      <formula>G228&gt;=1</formula>
    </cfRule>
  </conditionalFormatting>
  <conditionalFormatting sqref="H247:H259">
    <cfRule type="expression" dxfId="406" priority="1795">
      <formula>#REF!&gt;=1</formula>
    </cfRule>
  </conditionalFormatting>
  <conditionalFormatting sqref="H272:H284">
    <cfRule type="expression" dxfId="405" priority="1796">
      <formula>#REF!&gt;=1</formula>
    </cfRule>
  </conditionalFormatting>
  <conditionalFormatting sqref="E287:G287">
    <cfRule type="expression" dxfId="404" priority="1801">
      <formula>#REF!&gt;=1</formula>
    </cfRule>
  </conditionalFormatting>
  <conditionalFormatting sqref="H245">
    <cfRule type="expression" dxfId="403" priority="1802">
      <formula>#REF!&gt;=1</formula>
    </cfRule>
  </conditionalFormatting>
  <conditionalFormatting sqref="H270">
    <cfRule type="expression" dxfId="402" priority="1803">
      <formula>#REF!&gt;=1</formula>
    </cfRule>
  </conditionalFormatting>
  <conditionalFormatting sqref="E246:G247">
    <cfRule type="expression" dxfId="401" priority="1805">
      <formula>#REF!&gt;=1</formula>
    </cfRule>
  </conditionalFormatting>
  <conditionalFormatting sqref="L237:N237">
    <cfRule type="expression" dxfId="400" priority="970">
      <formula>G228&gt;=2</formula>
    </cfRule>
  </conditionalFormatting>
  <conditionalFormatting sqref="T237:W237">
    <cfRule type="expression" dxfId="399" priority="968">
      <formula>G228&gt;=3</formula>
    </cfRule>
  </conditionalFormatting>
  <conditionalFormatting sqref="AC237:AF237">
    <cfRule type="expression" dxfId="398" priority="967">
      <formula>G228&gt;=4</formula>
    </cfRule>
  </conditionalFormatting>
  <conditionalFormatting sqref="AM237:AP237">
    <cfRule type="expression" dxfId="397" priority="966">
      <formula>G228&gt;=5</formula>
    </cfRule>
  </conditionalFormatting>
  <conditionalFormatting sqref="AV237:AY237">
    <cfRule type="expression" dxfId="396" priority="965">
      <formula>G228&gt;=6</formula>
    </cfRule>
  </conditionalFormatting>
  <conditionalFormatting sqref="AU234">
    <cfRule type="expression" dxfId="395" priority="1806">
      <formula>G228&gt;6</formula>
    </cfRule>
  </conditionalFormatting>
  <conditionalFormatting sqref="BM262">
    <cfRule type="expression" dxfId="394" priority="1808">
      <formula>G228&gt;8</formula>
    </cfRule>
  </conditionalFormatting>
  <conditionalFormatting sqref="BE237:BH237">
    <cfRule type="expression" dxfId="393" priority="962">
      <formula>G228&gt;=7</formula>
    </cfRule>
  </conditionalFormatting>
  <conditionalFormatting sqref="BN237:BQ237">
    <cfRule type="expression" dxfId="392" priority="961">
      <formula>G228&gt;=8</formula>
    </cfRule>
  </conditionalFormatting>
  <conditionalFormatting sqref="F108">
    <cfRule type="expression" dxfId="391" priority="1135">
      <formula>AND($F$108&gt;=0.7,$F$108&lt;=100%,$B$110="")</formula>
    </cfRule>
    <cfRule type="expression" dxfId="390" priority="1136">
      <formula>AND($F$108&lt;0.7,$F$105&lt;&gt;"",$F$106&lt;&gt;"",$B$110="")</formula>
    </cfRule>
  </conditionalFormatting>
  <conditionalFormatting sqref="G108">
    <cfRule type="expression" dxfId="389" priority="953">
      <formula>AND($G$108&lt;0.7,$G$105&lt;&gt;"",$G$106&lt;&gt;"",$B$110="")</formula>
    </cfRule>
    <cfRule type="expression" dxfId="388" priority="960">
      <formula>AND($G$108&gt;=0.7,$G$108&lt;=100%,$B$110="")</formula>
    </cfRule>
  </conditionalFormatting>
  <conditionalFormatting sqref="H108">
    <cfRule type="expression" dxfId="387" priority="952">
      <formula>AND($H$108&lt;0.7,$H$105&lt;&gt;"",$H$106&lt;&gt;"",$B$110="")</formula>
    </cfRule>
    <cfRule type="expression" dxfId="386" priority="959">
      <formula>AND($H$108&gt;=0.7,$H$108&lt;=100%,$B$110="")</formula>
    </cfRule>
  </conditionalFormatting>
  <conditionalFormatting sqref="I108">
    <cfRule type="expression" dxfId="385" priority="951">
      <formula>AND($I$108&lt;0.7,$I$105&lt;&gt;"",$I$106&lt;&gt;"",$B$110="")</formula>
    </cfRule>
    <cfRule type="expression" dxfId="384" priority="958">
      <formula>AND($I$108&gt;=0.7,$I$108&lt;=100%,$B$110="")</formula>
    </cfRule>
  </conditionalFormatting>
  <conditionalFormatting sqref="J108">
    <cfRule type="expression" dxfId="383" priority="950">
      <formula>AND($J$108&lt;0.7,$J$105&lt;&gt;"",$J$106&lt;&gt;"",$B$110="")</formula>
    </cfRule>
    <cfRule type="expression" dxfId="382" priority="957">
      <formula>AND($J$108&gt;=0.7,$J$108&lt;=100%,$B$110="")</formula>
    </cfRule>
  </conditionalFormatting>
  <conditionalFormatting sqref="K108">
    <cfRule type="expression" dxfId="381" priority="949">
      <formula>AND($K$108&lt;0.7,$K$105&lt;&gt;"",$K$106&lt;&gt;"",$B$110="")</formula>
    </cfRule>
    <cfRule type="expression" dxfId="380" priority="956">
      <formula>AND($K$108&gt;=0.7,$K$108&lt;=100%,$B$110="")</formula>
    </cfRule>
  </conditionalFormatting>
  <conditionalFormatting sqref="L108">
    <cfRule type="expression" dxfId="379" priority="948">
      <formula>AND($L$108&lt;0.7,$L$105&lt;&gt;"",$L$106&lt;&gt;"",$B$110="")</formula>
    </cfRule>
    <cfRule type="expression" dxfId="378" priority="955">
      <formula>AND($L$108&gt;=0.7,$L$108&lt;=100%,$B$110="")</formula>
    </cfRule>
  </conditionalFormatting>
  <conditionalFormatting sqref="M108">
    <cfRule type="expression" dxfId="377" priority="947">
      <formula>AND($M$108&lt;0.7,$M$105&lt;&gt;"",$M$106&lt;&gt;"",$B$110="")</formula>
    </cfRule>
    <cfRule type="expression" dxfId="376" priority="954">
      <formula>AND($M$108&gt;=0.7,$M$108&lt;=100%,$B$110="")</formula>
    </cfRule>
  </conditionalFormatting>
  <conditionalFormatting sqref="C334:G338">
    <cfRule type="expression" dxfId="375" priority="946">
      <formula>$G$331="Yes"</formula>
    </cfRule>
  </conditionalFormatting>
  <conditionalFormatting sqref="E145">
    <cfRule type="expression" dxfId="374" priority="1296">
      <formula>AND(E145&lt;100%,E145&lt;&gt;"",B147="")</formula>
    </cfRule>
    <cfRule type="expression" dxfId="373" priority="1665">
      <formula>AND($E$145=100%,$B$147="")</formula>
    </cfRule>
  </conditionalFormatting>
  <conditionalFormatting sqref="G104 G107:G108">
    <cfRule type="expression" dxfId="372" priority="929">
      <formula>AND($G$108&gt;100%,$G$107&lt;&gt;"")</formula>
    </cfRule>
  </conditionalFormatting>
  <conditionalFormatting sqref="H104 H107:H108">
    <cfRule type="expression" dxfId="371" priority="928">
      <formula>AND($H$108&gt;100%,$H$107&lt;&gt;"")</formula>
    </cfRule>
  </conditionalFormatting>
  <conditionalFormatting sqref="I104 I107:I108">
    <cfRule type="expression" dxfId="370" priority="927">
      <formula>AND($I$108&gt;100%,$I$107&lt;&gt;"")</formula>
    </cfRule>
  </conditionalFormatting>
  <conditionalFormatting sqref="J104 J107:J108">
    <cfRule type="expression" dxfId="369" priority="926">
      <formula>AND($J$108&gt;100%,$J$107&lt;&gt;"")</formula>
    </cfRule>
  </conditionalFormatting>
  <conditionalFormatting sqref="K104 K107:K108">
    <cfRule type="expression" dxfId="368" priority="925">
      <formula>AND($K$108&gt;100%,$K$107&lt;&gt;"")</formula>
    </cfRule>
  </conditionalFormatting>
  <conditionalFormatting sqref="L104 L107:L108">
    <cfRule type="expression" dxfId="367" priority="924">
      <formula>AND($L$108&gt;100%,$L$107&lt;&gt;"")</formula>
    </cfRule>
  </conditionalFormatting>
  <conditionalFormatting sqref="M104 M107:M108">
    <cfRule type="expression" dxfId="366" priority="923">
      <formula>AND($M$108&gt;100%,$M$107&lt;&gt;"")</formula>
    </cfRule>
  </conditionalFormatting>
  <conditionalFormatting sqref="E145 E123:E124">
    <cfRule type="expression" dxfId="365" priority="922">
      <formula>AND($E$124&lt;&gt;"",$E$145&gt;100%)</formula>
    </cfRule>
  </conditionalFormatting>
  <conditionalFormatting sqref="F145">
    <cfRule type="expression" dxfId="364" priority="907">
      <formula>AND(F145&lt;100%,F145&lt;&gt;"",B147="")</formula>
    </cfRule>
    <cfRule type="expression" dxfId="363" priority="921">
      <formula>AND($F$145=100%,$B$147="")</formula>
    </cfRule>
  </conditionalFormatting>
  <conditionalFormatting sqref="G145">
    <cfRule type="expression" dxfId="362" priority="906">
      <formula>AND(G145&lt;100%,G145&lt;&gt;"",B147="")</formula>
    </cfRule>
    <cfRule type="expression" dxfId="361" priority="920">
      <formula>AND($G$145=100%,$B$147="")</formula>
    </cfRule>
  </conditionalFormatting>
  <conditionalFormatting sqref="H145">
    <cfRule type="expression" dxfId="360" priority="905">
      <formula>AND(H145&lt;100%,H145&lt;&gt;"",B147="")</formula>
    </cfRule>
    <cfRule type="expression" dxfId="359" priority="919">
      <formula>AND($H$145=100%,$B$147="")</formula>
    </cfRule>
  </conditionalFormatting>
  <conditionalFormatting sqref="I145">
    <cfRule type="expression" dxfId="358" priority="904">
      <formula>AND(I145&lt;100%,I145&lt;&gt;"",B147="")</formula>
    </cfRule>
    <cfRule type="expression" dxfId="357" priority="918">
      <formula>AND($I$145=100%,$B$147="")</formula>
    </cfRule>
  </conditionalFormatting>
  <conditionalFormatting sqref="J145">
    <cfRule type="expression" dxfId="356" priority="903">
      <formula>AND(J145&lt;100%,J145&lt;&gt;"",B147="")</formula>
    </cfRule>
    <cfRule type="expression" dxfId="355" priority="917">
      <formula>AND($J$145=100%,$B$147="")</formula>
    </cfRule>
  </conditionalFormatting>
  <conditionalFormatting sqref="K145">
    <cfRule type="expression" dxfId="354" priority="902">
      <formula>AND(K145&lt;100%,K145&lt;&gt;"",B147="")</formula>
    </cfRule>
    <cfRule type="expression" dxfId="353" priority="916">
      <formula>AND($K$145=100%,$B$147="")</formula>
    </cfRule>
  </conditionalFormatting>
  <conditionalFormatting sqref="L145">
    <cfRule type="expression" dxfId="352" priority="901">
      <formula>AND(L145&lt;100%,L145&lt;&gt;"",B147="")</formula>
    </cfRule>
    <cfRule type="expression" dxfId="351" priority="915">
      <formula>AND($L$145=100%,$B$147="")</formula>
    </cfRule>
  </conditionalFormatting>
  <conditionalFormatting sqref="M145">
    <cfRule type="expression" dxfId="350" priority="900">
      <formula>AND(M145&lt;100%,M145&lt;&gt;"",B147="")</formula>
    </cfRule>
    <cfRule type="expression" dxfId="349" priority="914">
      <formula>AND($M$145=100%,$B$147="")</formula>
    </cfRule>
  </conditionalFormatting>
  <conditionalFormatting sqref="H52">
    <cfRule type="expression" dxfId="348" priority="913">
      <formula>AND($H$65&gt;100%,$H$64&lt;&gt;"")</formula>
    </cfRule>
  </conditionalFormatting>
  <conditionalFormatting sqref="I52">
    <cfRule type="expression" dxfId="347" priority="912">
      <formula>AND($I$65&gt;100%,$I$64&lt;&gt;"")</formula>
    </cfRule>
  </conditionalFormatting>
  <conditionalFormatting sqref="J52">
    <cfRule type="expression" dxfId="346" priority="911">
      <formula>AND($J$65&gt;100%,$J$64&lt;&gt;"")</formula>
    </cfRule>
  </conditionalFormatting>
  <conditionalFormatting sqref="K52">
    <cfRule type="expression" dxfId="345" priority="910">
      <formula>AND($K$65&gt;100%,$K$64&lt;&gt;"")</formula>
    </cfRule>
  </conditionalFormatting>
  <conditionalFormatting sqref="L52">
    <cfRule type="expression" dxfId="344" priority="909">
      <formula>AND($L$65&gt;100%,$L$64&lt;&gt;"")</formula>
    </cfRule>
  </conditionalFormatting>
  <conditionalFormatting sqref="M52">
    <cfRule type="expression" dxfId="343" priority="908">
      <formula>AND($M$65&gt;100%,$M$64&lt;&gt;"")</formula>
    </cfRule>
  </conditionalFormatting>
  <conditionalFormatting sqref="F145 F123:F124">
    <cfRule type="expression" dxfId="342" priority="899">
      <formula>AND($F$124&lt;&gt;"",$F$145&gt;100%)</formula>
    </cfRule>
  </conditionalFormatting>
  <conditionalFormatting sqref="G145 G123:G124">
    <cfRule type="expression" dxfId="341" priority="898">
      <formula>AND($G$124&lt;&gt;"",$G$145&gt;100%)</formula>
    </cfRule>
  </conditionalFormatting>
  <conditionalFormatting sqref="H145 H123:H124">
    <cfRule type="expression" dxfId="340" priority="897">
      <formula>AND($H$124&lt;&gt;"",$H$145&gt;100%)</formula>
    </cfRule>
  </conditionalFormatting>
  <conditionalFormatting sqref="I145 I123:I124">
    <cfRule type="expression" dxfId="339" priority="896">
      <formula>AND($I$124&lt;&gt;"",$I$145&gt;100%)</formula>
    </cfRule>
  </conditionalFormatting>
  <conditionalFormatting sqref="J145 J123:J124">
    <cfRule type="expression" dxfId="338" priority="895">
      <formula>AND($J$124&lt;&gt;"",$J$145&gt;100%)</formula>
    </cfRule>
  </conditionalFormatting>
  <conditionalFormatting sqref="K145 K123:K124">
    <cfRule type="expression" dxfId="337" priority="894">
      <formula>AND($K$124&lt;&gt;"",$K$145&gt;100%)</formula>
    </cfRule>
  </conditionalFormatting>
  <conditionalFormatting sqref="L145 L123:L124">
    <cfRule type="expression" dxfId="336" priority="893">
      <formula>AND($L$124&lt;&gt;"",$L$145&gt;100%)</formula>
    </cfRule>
  </conditionalFormatting>
  <conditionalFormatting sqref="M145 M123:M124">
    <cfRule type="expression" dxfId="335" priority="892">
      <formula>AND($M$124&lt;&gt;"",$M$145&gt;100%)</formula>
    </cfRule>
  </conditionalFormatting>
  <conditionalFormatting sqref="B183:D183">
    <cfRule type="expression" dxfId="334" priority="890">
      <formula>AND(N182=100%,B183&lt;&gt;"")</formula>
    </cfRule>
    <cfRule type="expression" dxfId="333" priority="891">
      <formula>AND(N182&lt;100%,B183&lt;&gt;"")</formula>
    </cfRule>
  </conditionalFormatting>
  <conditionalFormatting sqref="N182">
    <cfRule type="expression" dxfId="332" priority="857">
      <formula>AND(N182=100%,$B$184="")</formula>
    </cfRule>
    <cfRule type="expression" dxfId="331" priority="881">
      <formula>AND(N161&lt;&gt;"",N182&lt;100%,N182&lt;&gt;"",$B$184="")</formula>
    </cfRule>
  </conditionalFormatting>
  <conditionalFormatting sqref="B184:N184">
    <cfRule type="expression" dxfId="330" priority="856">
      <formula>B184&lt;&gt;""</formula>
    </cfRule>
  </conditionalFormatting>
  <conditionalFormatting sqref="F162 O169">
    <cfRule type="expression" dxfId="329" priority="836">
      <formula>AND($F$169&lt;&gt;$F$162,$F$162&lt;&gt;"",$F$169="")</formula>
    </cfRule>
  </conditionalFormatting>
  <conditionalFormatting sqref="J162 O169">
    <cfRule type="expression" dxfId="328" priority="832">
      <formula>AND($J$169&lt;$J$162,$J$169&lt;&gt;"")</formula>
    </cfRule>
  </conditionalFormatting>
  <conditionalFormatting sqref="F181 F162 O181">
    <cfRule type="expression" dxfId="327" priority="666">
      <formula>AND($F$181&lt;$F$162,$F$181&lt;&gt;"")</formula>
    </cfRule>
    <cfRule type="expression" dxfId="326" priority="789">
      <formula>AND($F$181&gt;$F$162,$F$181&lt;&gt;"")</formula>
    </cfRule>
    <cfRule type="expression" dxfId="325" priority="818">
      <formula>AND($F$181&lt;&gt;$F$162,$F$162&lt;&gt;"",$F$181="")</formula>
    </cfRule>
  </conditionalFormatting>
  <conditionalFormatting sqref="G181 G162 O181">
    <cfRule type="expression" dxfId="324" priority="665">
      <formula>AND($G$181&lt;$G$162,$G$181&lt;&gt;"")</formula>
    </cfRule>
    <cfRule type="expression" dxfId="323" priority="788">
      <formula>AND($G$181&gt;$G$162,$G$181&lt;&gt;"")</formula>
    </cfRule>
    <cfRule type="expression" dxfId="322" priority="817">
      <formula>AND($G$181&lt;&gt;$G$162,$G$162&lt;&gt;"",$G$181="")</formula>
    </cfRule>
  </conditionalFormatting>
  <conditionalFormatting sqref="H181 H162 O181">
    <cfRule type="expression" dxfId="321" priority="664">
      <formula>AND($H$181&lt;$H$162,$H$181&lt;&gt;"")</formula>
    </cfRule>
    <cfRule type="expression" dxfId="320" priority="787">
      <formula>AND($H$181&gt;$H$162,$H$181&lt;&gt;"")</formula>
    </cfRule>
    <cfRule type="expression" dxfId="319" priority="816">
      <formula>AND($H$181&lt;&gt;$H$162,$H$162&lt;&gt;"",$H$181="")</formula>
    </cfRule>
  </conditionalFormatting>
  <conditionalFormatting sqref="I181 I162 O181">
    <cfRule type="expression" dxfId="318" priority="663">
      <formula>AND($I$181&lt;$I$162,$I$181&lt;&gt;"")</formula>
    </cfRule>
    <cfRule type="expression" dxfId="317" priority="786">
      <formula>AND($I$181&gt;$I$162,$I$181&lt;&gt;"")</formula>
    </cfRule>
    <cfRule type="expression" dxfId="316" priority="815">
      <formula>AND($I$181&lt;&gt;$I$162,$I$162&lt;&gt;"",$I$181="")</formula>
    </cfRule>
  </conditionalFormatting>
  <conditionalFormatting sqref="J181 J162 O181">
    <cfRule type="expression" dxfId="315" priority="662">
      <formula>AND($J$181&lt;$J$162,$J$181&lt;&gt;"")</formula>
    </cfRule>
    <cfRule type="expression" dxfId="314" priority="785">
      <formula>AND($J$181&gt;$J$162,$J$181&lt;&gt;"")</formula>
    </cfRule>
    <cfRule type="expression" dxfId="313" priority="814">
      <formula>AND($J$181&lt;&gt;$J$162,$J$162&lt;&gt;"",$J$181="")</formula>
    </cfRule>
  </conditionalFormatting>
  <conditionalFormatting sqref="K181 K162 O181">
    <cfRule type="expression" dxfId="312" priority="661">
      <formula>AND($K$181&lt;$K$162,$K$181&lt;&gt;"")</formula>
    </cfRule>
    <cfRule type="expression" dxfId="311" priority="784">
      <formula>AND($K$181&gt;$K$162,$K$181&lt;&gt;"")</formula>
    </cfRule>
    <cfRule type="expression" dxfId="310" priority="813">
      <formula>AND($K$181&lt;&gt;$K$162,$K$162&lt;&gt;"",$K$181="")</formula>
    </cfRule>
  </conditionalFormatting>
  <conditionalFormatting sqref="L181 L162 O181">
    <cfRule type="expression" dxfId="309" priority="660">
      <formula>AND($L$181&lt;$L$162,$L$181&lt;&gt;"")</formula>
    </cfRule>
    <cfRule type="expression" dxfId="308" priority="783">
      <formula>AND($L$181&gt;$L$162,$L$181&lt;&gt;"")</formula>
    </cfRule>
    <cfRule type="expression" dxfId="307" priority="812">
      <formula>AND($L$181&lt;&gt;$L$162,$L$162&lt;&gt;"",$L$181="")</formula>
    </cfRule>
  </conditionalFormatting>
  <conditionalFormatting sqref="M181 M162 O181">
    <cfRule type="expression" dxfId="306" priority="659">
      <formula>AND($M$181&lt;$M$162,$M$181&lt;&gt;"")</formula>
    </cfRule>
    <cfRule type="expression" dxfId="305" priority="782">
      <formula>AND($M$181&gt;$M$162,$M$181&lt;&gt;"")</formula>
    </cfRule>
    <cfRule type="expression" dxfId="304" priority="811">
      <formula>AND($M$181&lt;&gt;$M$162,$M$162&lt;&gt;"",$M$181="")</formula>
    </cfRule>
  </conditionalFormatting>
  <conditionalFormatting sqref="E162 O175 E175:M175">
    <cfRule type="expression" dxfId="303" priority="676">
      <formula>AND($E$175&lt;$E$162,$E$175&lt;&gt;"")</formula>
    </cfRule>
    <cfRule type="expression" dxfId="302" priority="799">
      <formula>AND($E$175&gt;$E$162,$E$175&lt;&gt;"")</formula>
    </cfRule>
    <cfRule type="expression" dxfId="301" priority="828">
      <formula>AND($E$175&lt;&gt;$E$162,$E$162&lt;&gt;"",$E$175="")</formula>
    </cfRule>
  </conditionalFormatting>
  <conditionalFormatting sqref="F175 F162 O175">
    <cfRule type="expression" dxfId="300" priority="675">
      <formula>AND($F$175&lt;$F$162,$F$175&lt;&gt;"")</formula>
    </cfRule>
    <cfRule type="expression" dxfId="299" priority="798">
      <formula>AND($F$175&gt;$F$162,$F$175&lt;&gt;"")</formula>
    </cfRule>
    <cfRule type="expression" dxfId="298" priority="827">
      <formula>AND($F$175&lt;&gt;$F$162,$F$162&lt;&gt;"",$F$175="")</formula>
    </cfRule>
  </conditionalFormatting>
  <conditionalFormatting sqref="G175 G162 O175">
    <cfRule type="expression" dxfId="297" priority="674">
      <formula>AND($G$175&lt;$G$162,$G$175&lt;&gt;"")</formula>
    </cfRule>
    <cfRule type="expression" dxfId="296" priority="797">
      <formula>AND($G$175&gt;$G$162,$G$175&lt;&gt;"")</formula>
    </cfRule>
    <cfRule type="expression" dxfId="295" priority="826">
      <formula>AND($G$175&lt;&gt;$G$162,$G$162&lt;&gt;"",$G$175="")</formula>
    </cfRule>
  </conditionalFormatting>
  <conditionalFormatting sqref="H175 H162 O175">
    <cfRule type="expression" dxfId="294" priority="673">
      <formula>AND($H$175&lt;$H$162,$H$175&lt;&gt;"")</formula>
    </cfRule>
    <cfRule type="expression" dxfId="293" priority="796">
      <formula>AND($H$175&gt;$H$162,$H$175&lt;&gt;"")</formula>
    </cfRule>
    <cfRule type="expression" dxfId="292" priority="825">
      <formula>AND($H$175&lt;&gt;$H$162,$H$162&lt;&gt;"",$H$175="")</formula>
    </cfRule>
  </conditionalFormatting>
  <conditionalFormatting sqref="I175 I162 O175">
    <cfRule type="expression" dxfId="291" priority="672">
      <formula>AND($I$175&lt;$I$162,$I$175&lt;&gt;"")</formula>
    </cfRule>
    <cfRule type="expression" dxfId="290" priority="795">
      <formula>AND($I$175&gt;$I$162,$I$175&lt;&gt;"")</formula>
    </cfRule>
    <cfRule type="expression" dxfId="289" priority="824">
      <formula>AND($I$175&lt;&gt;$I$162,$I$162&lt;&gt;"",$I$175="")</formula>
    </cfRule>
  </conditionalFormatting>
  <conditionalFormatting sqref="J175 J162 O175">
    <cfRule type="expression" dxfId="288" priority="671">
      <formula>AND($J$175&lt;$J$162,$J$175&lt;&gt;"")</formula>
    </cfRule>
    <cfRule type="expression" dxfId="287" priority="794">
      <formula>AND($J$175&gt;$J$162,$J$175&lt;&gt;"")</formula>
    </cfRule>
    <cfRule type="expression" dxfId="286" priority="823">
      <formula>AND($J$175&lt;&gt;$J$162,$J$162&lt;&gt;"",$J$175="")</formula>
    </cfRule>
  </conditionalFormatting>
  <conditionalFormatting sqref="K175 K162 O175">
    <cfRule type="expression" dxfId="285" priority="670">
      <formula>AND($K$175&lt;$K$162,$K$175&lt;&gt;"")</formula>
    </cfRule>
    <cfRule type="expression" dxfId="284" priority="793">
      <formula>AND($K$175&gt;$K$162,$K$175&lt;&gt;"")</formula>
    </cfRule>
    <cfRule type="expression" dxfId="283" priority="822">
      <formula>AND($K$175&lt;&gt;$K$162,$K$162&lt;&gt;"",$K$175="")</formula>
    </cfRule>
  </conditionalFormatting>
  <conditionalFormatting sqref="L175 L162 O175">
    <cfRule type="expression" dxfId="282" priority="669">
      <formula>AND($L$175&lt;$L$162,$L$175&lt;&gt;"")</formula>
    </cfRule>
    <cfRule type="expression" dxfId="281" priority="792">
      <formula>AND($L$175&gt;$L$162,$L$175&lt;&gt;"")</formula>
    </cfRule>
    <cfRule type="expression" dxfId="280" priority="821">
      <formula>AND($L$175&lt;&gt;$L$162,$L$162&lt;&gt;"",$L$175="")</formula>
    </cfRule>
  </conditionalFormatting>
  <conditionalFormatting sqref="M175 M162 O175">
    <cfRule type="expression" dxfId="279" priority="668">
      <formula>AND($M$175&lt;$M$162,$M$175&lt;&gt;"")</formula>
    </cfRule>
    <cfRule type="expression" dxfId="278" priority="791">
      <formula>AND($M$175&gt;$M$162,$M$175&lt;&gt;"")</formula>
    </cfRule>
    <cfRule type="expression" dxfId="277" priority="820">
      <formula>AND($M$175&lt;&gt;$M$162,$M$162&lt;&gt;"",$M$175="")</formula>
    </cfRule>
  </conditionalFormatting>
  <conditionalFormatting sqref="E159:E161 F160:M160 E182:M182">
    <cfRule type="expression" dxfId="276" priority="781">
      <formula>AND($E$161&lt;&gt;"",$E$182&gt;100%)</formula>
    </cfRule>
  </conditionalFormatting>
  <conditionalFormatting sqref="F159:F161">
    <cfRule type="expression" dxfId="275" priority="764">
      <formula>AND($F$161&lt;&gt;"",$F$182&gt;100%)</formula>
    </cfRule>
  </conditionalFormatting>
  <conditionalFormatting sqref="G159:G161">
    <cfRule type="expression" dxfId="274" priority="763">
      <formula>AND($G$161&lt;&gt;"",$G$182&gt;100%)</formula>
    </cfRule>
  </conditionalFormatting>
  <conditionalFormatting sqref="H159:H161">
    <cfRule type="expression" dxfId="273" priority="762">
      <formula>AND($H$161&lt;&gt;"",$H$182&gt;100%)</formula>
    </cfRule>
  </conditionalFormatting>
  <conditionalFormatting sqref="I159:I161">
    <cfRule type="expression" dxfId="272" priority="761">
      <formula>AND($I$161&lt;&gt;"",$I$182&gt;100%)</formula>
    </cfRule>
  </conditionalFormatting>
  <conditionalFormatting sqref="J159:J161">
    <cfRule type="expression" dxfId="271" priority="760">
      <formula>AND($J$161&lt;&gt;"",$J$182&gt;100%)</formula>
    </cfRule>
  </conditionalFormatting>
  <conditionalFormatting sqref="K159:K161">
    <cfRule type="expression" dxfId="270" priority="759">
      <formula>AND($K$161&lt;&gt;"",$K$182&gt;100%)</formula>
    </cfRule>
  </conditionalFormatting>
  <conditionalFormatting sqref="L159:L161">
    <cfRule type="expression" dxfId="269" priority="758">
      <formula>AND($L$161&lt;&gt;"",$L$182&gt;100%)</formula>
    </cfRule>
  </conditionalFormatting>
  <conditionalFormatting sqref="M159:M161">
    <cfRule type="expression" dxfId="268" priority="757">
      <formula>AND($M$161&lt;&gt;"",$M$182&gt;100%)</formula>
    </cfRule>
  </conditionalFormatting>
  <conditionalFormatting sqref="E125 O138">
    <cfRule type="expression" dxfId="267" priority="1003">
      <formula>AND($E$138&gt;$E$125,$E$138&lt;&gt;"")</formula>
    </cfRule>
  </conditionalFormatting>
  <conditionalFormatting sqref="E125 O132">
    <cfRule type="expression" dxfId="266" priority="1017">
      <formula>AND($E$132&lt;&gt;$E$125,$E$132&lt;&gt;"")</formula>
    </cfRule>
    <cfRule type="expression" dxfId="265" priority="1269">
      <formula>AND($E$132&gt;$E$125,$E$132&lt;&gt;"")</formula>
    </cfRule>
  </conditionalFormatting>
  <conditionalFormatting sqref="E132 E125 O132">
    <cfRule type="expression" dxfId="264" priority="729">
      <formula>AND($E$132&lt;$E$125,$E$132&lt;&gt;"")</formula>
    </cfRule>
    <cfRule type="expression" dxfId="263" priority="754">
      <formula>AND($E$132&gt;$E$125,$E$132&lt;&gt;"")</formula>
    </cfRule>
    <cfRule type="expression" dxfId="262" priority="755">
      <formula>AND($E$132&lt;&gt;$E$125,$E$125&lt;&gt;"",$E$132="")</formula>
    </cfRule>
  </conditionalFormatting>
  <conditionalFormatting sqref="G66">
    <cfRule type="expression" dxfId="261" priority="1342">
      <formula>AND($G$66&gt;=0.7,$G$66&lt;&gt;"",$B$68="")</formula>
    </cfRule>
    <cfRule type="expression" dxfId="260" priority="1349">
      <formula>AND($G$66&lt;0.7,$G$65&lt;=100%,$G$65&gt;0,$B$68="")</formula>
    </cfRule>
  </conditionalFormatting>
  <conditionalFormatting sqref="H66">
    <cfRule type="expression" dxfId="259" priority="51">
      <formula>AND($H$66&gt;=0.7,$H$66&lt;&gt;"",$B$68="")</formula>
    </cfRule>
    <cfRule type="expression" dxfId="258" priority="753">
      <formula>AND($H$66&lt;0.7,$H$65&lt;=100%,$H$65&gt;0,$B$68="")</formula>
    </cfRule>
  </conditionalFormatting>
  <conditionalFormatting sqref="I66">
    <cfRule type="expression" dxfId="257" priority="50">
      <formula>AND($I$66&gt;=0.7,$I$66&lt;&gt;"",$B$68="")</formula>
    </cfRule>
    <cfRule type="expression" dxfId="256" priority="752">
      <formula>AND($I$66&lt;0.7,$I$65&lt;=100%,$I$65&gt;0,$B$68="")</formula>
    </cfRule>
  </conditionalFormatting>
  <conditionalFormatting sqref="J66">
    <cfRule type="expression" dxfId="255" priority="49">
      <formula>AND($J$66&gt;=0.7,$J$66&lt;&gt;"",$B$68="")</formula>
    </cfRule>
    <cfRule type="expression" dxfId="254" priority="751">
      <formula>AND($J$66&lt;0.7,$J$65&lt;=100%,$J$65&gt;0,$B$68="")</formula>
    </cfRule>
  </conditionalFormatting>
  <conditionalFormatting sqref="K66">
    <cfRule type="expression" dxfId="253" priority="48">
      <formula>AND($K$66&gt;=0.7,$K$66&lt;&gt;"",$B$68="")</formula>
    </cfRule>
    <cfRule type="expression" dxfId="252" priority="750">
      <formula>AND($K$66&lt;0.7,$K$65&lt;=100%,$K$65&gt;0,$B$68="")</formula>
    </cfRule>
  </conditionalFormatting>
  <conditionalFormatting sqref="L66">
    <cfRule type="expression" dxfId="251" priority="47">
      <formula>AND($L$66&gt;=0.7,$L$66&lt;&gt;"",$B$68="")</formula>
    </cfRule>
    <cfRule type="expression" dxfId="250" priority="749">
      <formula>AND($L$66&lt;0.7,$L$65&lt;=100%,$L$65&gt;0,$B$68="")</formula>
    </cfRule>
  </conditionalFormatting>
  <conditionalFormatting sqref="M66">
    <cfRule type="expression" dxfId="249" priority="46">
      <formula>AND($M$66&gt;=0.7,$M$66&lt;&gt;"",$B$68="")</formula>
    </cfRule>
    <cfRule type="expression" dxfId="248" priority="748">
      <formula>AND($M$66&lt;0.7,$M$65&lt;=100%,$M$65&gt;0,$B$68="")</formula>
    </cfRule>
  </conditionalFormatting>
  <conditionalFormatting sqref="CA72">
    <cfRule type="expression" dxfId="247" priority="747">
      <formula>P75&lt;&gt;""</formula>
    </cfRule>
  </conditionalFormatting>
  <conditionalFormatting sqref="F132 F125 O132">
    <cfRule type="expression" dxfId="246" priority="730">
      <formula>AND($F$132&lt;$F$125,$F$132&lt;&gt;"")</formula>
    </cfRule>
    <cfRule type="expression" dxfId="245" priority="738">
      <formula>AND($F$132&lt;&gt;$F$125,$F$125&lt;&gt;"",$F$132="")</formula>
    </cfRule>
    <cfRule type="expression" dxfId="244" priority="746">
      <formula>AND($F$132&gt;$F$125,$F$132&lt;&gt;"")</formula>
    </cfRule>
  </conditionalFormatting>
  <conditionalFormatting sqref="G132 G125 O132">
    <cfRule type="expression" dxfId="243" priority="728">
      <formula>AND($G$132&lt;$G$125,$G$132&lt;&gt;"")</formula>
    </cfRule>
    <cfRule type="expression" dxfId="242" priority="737">
      <formula>AND($G$132&lt;&gt;$G$125,$G$125&lt;&gt;"",$G$132="")</formula>
    </cfRule>
    <cfRule type="expression" dxfId="241" priority="745">
      <formula>AND($G$132&gt;$G$125,$G$132&lt;&gt;"")</formula>
    </cfRule>
  </conditionalFormatting>
  <conditionalFormatting sqref="H132 H125 O132">
    <cfRule type="expression" dxfId="240" priority="727">
      <formula>AND($H$132&lt;$H$125,$H$132&lt;&gt;"")</formula>
    </cfRule>
    <cfRule type="expression" dxfId="239" priority="736">
      <formula>AND($H$132&lt;&gt;$H$125,$H$125&lt;&gt;"",$H$132="")</formula>
    </cfRule>
    <cfRule type="expression" dxfId="238" priority="744">
      <formula>AND($H$132&gt;$H$125,$H$132&lt;&gt;"")</formula>
    </cfRule>
  </conditionalFormatting>
  <conditionalFormatting sqref="I132 I125 O132">
    <cfRule type="expression" dxfId="237" priority="726">
      <formula>AND($I$132&lt;$I$125,$I$132&lt;&gt;"")</formula>
    </cfRule>
    <cfRule type="expression" dxfId="236" priority="735">
      <formula>AND($I$132&lt;&gt;$I$125,$I$125&lt;&gt;"",$I$132="")</formula>
    </cfRule>
    <cfRule type="expression" dxfId="235" priority="743">
      <formula>AND($I$132&gt;$I$125,$I$132&lt;&gt;"")</formula>
    </cfRule>
  </conditionalFormatting>
  <conditionalFormatting sqref="J132 J125 O132">
    <cfRule type="expression" dxfId="234" priority="725">
      <formula>AND($J$132&lt;$J$125,$J$132&lt;&gt;"")</formula>
    </cfRule>
    <cfRule type="expression" dxfId="233" priority="734">
      <formula>AND($J$132&lt;&gt;$J$125,$J$125&lt;&gt;"",$J$132="")</formula>
    </cfRule>
    <cfRule type="expression" dxfId="232" priority="742">
      <formula>AND($J$132&gt;$J$125,$J$132&lt;&gt;"")</formula>
    </cfRule>
  </conditionalFormatting>
  <conditionalFormatting sqref="K132 K125 O132">
    <cfRule type="expression" dxfId="231" priority="724">
      <formula>AND($K$132&lt;$K$125,$K$132&lt;&gt;"")</formula>
    </cfRule>
    <cfRule type="expression" dxfId="230" priority="733">
      <formula>AND($K$132&lt;&gt;$K$125,$K$125&lt;&gt;"",$K$132="")</formula>
    </cfRule>
    <cfRule type="expression" dxfId="229" priority="741">
      <formula>AND($K$132&gt;$K$125,$K$132&lt;&gt;"")</formula>
    </cfRule>
  </conditionalFormatting>
  <conditionalFormatting sqref="L132 L125 O132">
    <cfRule type="expression" dxfId="228" priority="723">
      <formula>AND($L$132&lt;$L$125,$L$132&lt;&gt;"")</formula>
    </cfRule>
    <cfRule type="expression" dxfId="227" priority="732">
      <formula>AND($L$132&lt;&gt;$L$125,$L$125&lt;&gt;"",$L$132="")</formula>
    </cfRule>
    <cfRule type="expression" dxfId="226" priority="740">
      <formula>AND($L$132&gt;$L$125,$L$132&lt;&gt;"")</formula>
    </cfRule>
  </conditionalFormatting>
  <conditionalFormatting sqref="M132 M125 O132">
    <cfRule type="expression" dxfId="225" priority="722">
      <formula>AND($M$132&lt;$M$125,$M$132&lt;&gt;"")</formula>
    </cfRule>
    <cfRule type="expression" dxfId="224" priority="731">
      <formula>AND($M$132&lt;&gt;$M$125,$M$125&lt;&gt;"",$M$132="")</formula>
    </cfRule>
    <cfRule type="expression" dxfId="223" priority="739">
      <formula>AND($M$132&gt;$M$125,$M$132&lt;&gt;"")</formula>
    </cfRule>
  </conditionalFormatting>
  <conditionalFormatting sqref="E138 E125 O138">
    <cfRule type="expression" dxfId="222" priority="719">
      <formula>AND($E$138&lt;$E$125,$E$138&lt;&gt;"")</formula>
    </cfRule>
    <cfRule type="expression" dxfId="221" priority="720">
      <formula>AND($E$138&gt;$E$125,$E$138&lt;&gt;"")</formula>
    </cfRule>
    <cfRule type="expression" dxfId="220" priority="721">
      <formula>AND($E$138&lt;&gt;$E$125,$E$125&lt;&gt;"",$E$138="")</formula>
    </cfRule>
  </conditionalFormatting>
  <conditionalFormatting sqref="E125 O144 E144">
    <cfRule type="expression" dxfId="219" priority="994">
      <formula>AND($E$144&gt;$E$125,$E$144&lt;&gt;"")</formula>
    </cfRule>
    <cfRule type="expression" dxfId="218" priority="1233">
      <formula>AND($E$144&lt;&gt;$E$125,$E$125&lt;&gt;"",$E$144="")</formula>
    </cfRule>
  </conditionalFormatting>
  <conditionalFormatting sqref="E144 E125 O144">
    <cfRule type="expression" dxfId="217" priority="710">
      <formula>AND($E$144&lt;$E$125,$E$144&lt;&gt;"")</formula>
    </cfRule>
  </conditionalFormatting>
  <conditionalFormatting sqref="E162 O169 E169:M169">
    <cfRule type="expression" dxfId="216" priority="808">
      <formula>AND($E$169&lt;&gt;$E$162,$E$162&lt;&gt;"",$E$169="")</formula>
    </cfRule>
    <cfRule type="expression" dxfId="215" priority="855">
      <formula>AND($E$169&gt;$E$162,$E$169&lt;&gt;"")</formula>
    </cfRule>
  </conditionalFormatting>
  <conditionalFormatting sqref="E162 O169 E169:M169">
    <cfRule type="expression" dxfId="214" priority="683">
      <formula>AND($E$169&lt;$E$162,$E$169&lt;&gt;"")</formula>
    </cfRule>
  </conditionalFormatting>
  <conditionalFormatting sqref="F162 O169">
    <cfRule type="expression" dxfId="213" priority="807">
      <formula>AND($F$169&lt;$F$162,$F$169&lt;&gt;"")</formula>
    </cfRule>
    <cfRule type="expression" dxfId="212" priority="835">
      <formula>AND($F$169&gt;$F$162,$F$169&lt;&gt;"")</formula>
    </cfRule>
  </conditionalFormatting>
  <conditionalFormatting sqref="G162 O169">
    <cfRule type="expression" dxfId="211" priority="806">
      <formula>AND($G$169&lt;&gt;$G$162,$G$162&lt;&gt;"",$G$169="")</formula>
    </cfRule>
    <cfRule type="expression" dxfId="210" priority="834">
      <formula>AND($G$169&gt;$G$162,$G$169&lt;&gt;"")</formula>
    </cfRule>
  </conditionalFormatting>
  <conditionalFormatting sqref="G162 O169">
    <cfRule type="expression" dxfId="209" priority="682">
      <formula>AND($G$169&lt;$G$162,$G$169&lt;&gt;"")</formula>
    </cfRule>
  </conditionalFormatting>
  <conditionalFormatting sqref="H162 O169">
    <cfRule type="expression" dxfId="208" priority="805">
      <formula>AND($H$169&lt;&gt;$H$162,$H$162&lt;&gt;"",$H$169="")</formula>
    </cfRule>
    <cfRule type="expression" dxfId="207" priority="833">
      <formula>AND($H$169&gt;$H$162,$H$169&lt;&gt;"")</formula>
    </cfRule>
  </conditionalFormatting>
  <conditionalFormatting sqref="H162 O169">
    <cfRule type="expression" dxfId="206" priority="681">
      <formula>AND($H$169&lt;$H$162,$H$169&lt;&gt;"")</formula>
    </cfRule>
  </conditionalFormatting>
  <conditionalFormatting sqref="I162 O169">
    <cfRule type="expression" dxfId="205" priority="804">
      <formula>AND($I$169&lt;&gt;$I$162,$I$162&lt;&gt;"",$I$169="")</formula>
    </cfRule>
    <cfRule type="expression" dxfId="204" priority="831">
      <formula>AND($I$169&gt;$I$162,$I$169&lt;&gt;"")</formula>
    </cfRule>
  </conditionalFormatting>
  <conditionalFormatting sqref="I162 O169">
    <cfRule type="expression" dxfId="203" priority="680">
      <formula>AND($I$169&lt;$I$162,$I$169&lt;&gt;"")</formula>
    </cfRule>
  </conditionalFormatting>
  <conditionalFormatting sqref="J162 O169">
    <cfRule type="expression" dxfId="202" priority="803">
      <formula>AND($J$169&lt;&gt;$J$162,$J$162&lt;&gt;"",$J$169="")</formula>
    </cfRule>
    <cfRule type="expression" dxfId="201" priority="830">
      <formula>AND($J$169&gt;$J$162,$J$169&lt;&gt;"")</formula>
    </cfRule>
  </conditionalFormatting>
  <conditionalFormatting sqref="K162 O169">
    <cfRule type="expression" dxfId="200" priority="802">
      <formula>AND($K$169&lt;&gt;$K$162,$K$162&lt;&gt;"",$K$169="")</formula>
    </cfRule>
    <cfRule type="expression" dxfId="199" priority="829">
      <formula>AND($K$169&gt;$K$162,$K$169&lt;&gt;"")</formula>
    </cfRule>
  </conditionalFormatting>
  <conditionalFormatting sqref="K162 O169">
    <cfRule type="expression" dxfId="198" priority="679">
      <formula>AND($K$169&lt;$K$162,$K$169&lt;&gt;"")</formula>
    </cfRule>
  </conditionalFormatting>
  <conditionalFormatting sqref="L162 O169">
    <cfRule type="expression" dxfId="197" priority="801">
      <formula>AND($L$169&lt;&gt;$L$162,$L$162&lt;&gt;"",$L$169="")</formula>
    </cfRule>
    <cfRule type="expression" dxfId="196" priority="810">
      <formula>AND($L$169&gt;$L$162,$L$169&lt;&gt;"")</formula>
    </cfRule>
  </conditionalFormatting>
  <conditionalFormatting sqref="L162 O169">
    <cfRule type="expression" dxfId="195" priority="678">
      <formula>AND($L$169&lt;$L$162,$L$169&lt;&gt;"")</formula>
    </cfRule>
  </conditionalFormatting>
  <conditionalFormatting sqref="M162 O169">
    <cfRule type="expression" dxfId="194" priority="800">
      <formula>AND($M$169&lt;&gt;$M$162,$M$162&lt;&gt;"",$M$169="")</formula>
    </cfRule>
    <cfRule type="expression" dxfId="193" priority="809">
      <formula>AND($M$169&gt;$M$162,$M$169&lt;&gt;"")</formula>
    </cfRule>
  </conditionalFormatting>
  <conditionalFormatting sqref="M162 O169">
    <cfRule type="expression" dxfId="192" priority="677">
      <formula>AND($M$169&lt;$M$162,$M$169&lt;&gt;"")</formula>
    </cfRule>
  </conditionalFormatting>
  <conditionalFormatting sqref="E162 O181 E181">
    <cfRule type="expression" dxfId="191" priority="667">
      <formula>AND($E$181&lt;$E$162,$E$181&lt;&gt;"")</formula>
    </cfRule>
    <cfRule type="expression" dxfId="190" priority="790">
      <formula>AND($E$181&gt;$E$162,$E$181&lt;&gt;"")</formula>
    </cfRule>
    <cfRule type="expression" dxfId="189" priority="819">
      <formula>AND($E$181&lt;&gt;$E$162,$E$162&lt;&gt;"",$E$181="")</formula>
    </cfRule>
  </conditionalFormatting>
  <conditionalFormatting sqref="B126">
    <cfRule type="expression" dxfId="188" priority="656">
      <formula>MOD(ROW(),2)=1</formula>
    </cfRule>
  </conditionalFormatting>
  <conditionalFormatting sqref="B126">
    <cfRule type="expression" dxfId="187" priority="655">
      <formula>MOD(ROW(),2)=1</formula>
    </cfRule>
  </conditionalFormatting>
  <conditionalFormatting sqref="CD232">
    <cfRule type="expression" dxfId="186" priority="654">
      <formula>G228&gt;=9</formula>
    </cfRule>
  </conditionalFormatting>
  <conditionalFormatting sqref="BL232">
    <cfRule type="expression" dxfId="185" priority="653">
      <formula>(OR(G228=7,G228=8))</formula>
    </cfRule>
  </conditionalFormatting>
  <conditionalFormatting sqref="AT232">
    <cfRule type="expression" dxfId="184" priority="652">
      <formula>(OR(G228=5,G228=6))</formula>
    </cfRule>
  </conditionalFormatting>
  <conditionalFormatting sqref="AB232">
    <cfRule type="expression" dxfId="183" priority="651">
      <formula>(OR(G228=3,G228=4))</formula>
    </cfRule>
  </conditionalFormatting>
  <conditionalFormatting sqref="C356:N356">
    <cfRule type="expression" dxfId="182" priority="650">
      <formula>D349&lt;&gt;""</formula>
    </cfRule>
  </conditionalFormatting>
  <conditionalFormatting sqref="C357:N357">
    <cfRule type="expression" dxfId="181" priority="649">
      <formula>D349&lt;&gt;""</formula>
    </cfRule>
  </conditionalFormatting>
  <conditionalFormatting sqref="F82 F85:F86">
    <cfRule type="expression" dxfId="180" priority="648">
      <formula>AND($F$85&lt;&gt;"",$F$86&gt;100%)</formula>
    </cfRule>
  </conditionalFormatting>
  <conditionalFormatting sqref="H201">
    <cfRule type="expression" dxfId="179" priority="402">
      <formula>G196="Yes"</formula>
    </cfRule>
  </conditionalFormatting>
  <conditionalFormatting sqref="C200:H200">
    <cfRule type="expression" dxfId="178" priority="362">
      <formula>G196="Yes"</formula>
    </cfRule>
  </conditionalFormatting>
  <conditionalFormatting sqref="C201:E201">
    <cfRule type="expression" dxfId="177" priority="361">
      <formula>G196="Yes"</formula>
    </cfRule>
  </conditionalFormatting>
  <conditionalFormatting sqref="F201:G201">
    <cfRule type="expression" dxfId="176" priority="360">
      <formula>G196="Yes"</formula>
    </cfRule>
  </conditionalFormatting>
  <conditionalFormatting sqref="C202:E202">
    <cfRule type="expression" dxfId="175" priority="356">
      <formula>G198&gt;=1</formula>
    </cfRule>
  </conditionalFormatting>
  <conditionalFormatting sqref="F202:G202">
    <cfRule type="expression" dxfId="174" priority="355">
      <formula>G198&gt;=1</formula>
    </cfRule>
  </conditionalFormatting>
  <conditionalFormatting sqref="C203:E203">
    <cfRule type="expression" dxfId="173" priority="350">
      <formula>G198&gt;=2</formula>
    </cfRule>
  </conditionalFormatting>
  <conditionalFormatting sqref="C204:E204">
    <cfRule type="expression" dxfId="172" priority="337">
      <formula>G198&gt;=3</formula>
    </cfRule>
  </conditionalFormatting>
  <conditionalFormatting sqref="BL42">
    <cfRule type="expression" dxfId="171" priority="326">
      <formula>P48&lt;&gt;""</formula>
    </cfRule>
  </conditionalFormatting>
  <conditionalFormatting sqref="G123:G124 G145">
    <cfRule type="expression" dxfId="170" priority="318">
      <formula>AND($G$124&lt;&gt;"",$E$145&gt;100%)</formula>
    </cfRule>
  </conditionalFormatting>
  <conditionalFormatting sqref="E64:E66">
    <cfRule type="expression" dxfId="169" priority="309">
      <formula>AND($E$65&gt;100%,$E$64&lt;&gt;"")</formula>
    </cfRule>
  </conditionalFormatting>
  <conditionalFormatting sqref="F64:F66">
    <cfRule type="expression" dxfId="168" priority="308">
      <formula>AND($F$65&gt;100%,$F$64&lt;&gt;"")</formula>
    </cfRule>
  </conditionalFormatting>
  <conditionalFormatting sqref="H65">
    <cfRule type="expression" dxfId="167" priority="307">
      <formula>AND($H$65&gt;100%,$H$64&lt;&gt;"")</formula>
    </cfRule>
  </conditionalFormatting>
  <conditionalFormatting sqref="I65">
    <cfRule type="expression" dxfId="166" priority="306">
      <formula>AND($I$65&gt;100%,$I$64&lt;&gt;"")</formula>
    </cfRule>
  </conditionalFormatting>
  <conditionalFormatting sqref="J65">
    <cfRule type="expression" dxfId="165" priority="305">
      <formula>AND($J$65&gt;100%,$J$64&lt;&gt;"")</formula>
    </cfRule>
  </conditionalFormatting>
  <conditionalFormatting sqref="K65">
    <cfRule type="expression" dxfId="164" priority="304">
      <formula>AND($K$65&gt;100%,$K$64&lt;&gt;"")</formula>
    </cfRule>
  </conditionalFormatting>
  <conditionalFormatting sqref="L65">
    <cfRule type="expression" dxfId="163" priority="303">
      <formula>AND($L$65&gt;100%,$L$64&lt;&gt;"")</formula>
    </cfRule>
  </conditionalFormatting>
  <conditionalFormatting sqref="M65">
    <cfRule type="expression" dxfId="162" priority="302">
      <formula>AND($M$65&gt;100%,$M$64&lt;&gt;"")</formula>
    </cfRule>
  </conditionalFormatting>
  <conditionalFormatting sqref="P119 X119:X124">
    <cfRule type="expression" dxfId="161" priority="297">
      <formula>P118&lt;&gt;""</formula>
    </cfRule>
  </conditionalFormatting>
  <conditionalFormatting sqref="Z119:AG124">
    <cfRule type="expression" dxfId="160" priority="296">
      <formula>P118&lt;&gt;""</formula>
    </cfRule>
  </conditionalFormatting>
  <conditionalFormatting sqref="P155:W161">
    <cfRule type="expression" dxfId="159" priority="295">
      <formula>P154&lt;&gt;""</formula>
    </cfRule>
  </conditionalFormatting>
  <conditionalFormatting sqref="Z155:AG161">
    <cfRule type="expression" dxfId="158" priority="294">
      <formula>P154&lt;&gt;""</formula>
    </cfRule>
  </conditionalFormatting>
  <conditionalFormatting sqref="F203:G203">
    <cfRule type="expression" dxfId="157" priority="293">
      <formula>G198&gt;=2</formula>
    </cfRule>
  </conditionalFormatting>
  <conditionalFormatting sqref="F204:G204">
    <cfRule type="expression" dxfId="156" priority="291">
      <formula>G198&gt;=3</formula>
    </cfRule>
  </conditionalFormatting>
  <conditionalFormatting sqref="C205:E205">
    <cfRule type="expression" dxfId="155" priority="289">
      <formula>G198&gt;=4</formula>
    </cfRule>
  </conditionalFormatting>
  <conditionalFormatting sqref="F205:G205">
    <cfRule type="expression" dxfId="154" priority="288">
      <formula>G198&gt;=4</formula>
    </cfRule>
  </conditionalFormatting>
  <conditionalFormatting sqref="C206:E206">
    <cfRule type="expression" dxfId="153" priority="277">
      <formula>G198&gt;=5</formula>
    </cfRule>
  </conditionalFormatting>
  <conditionalFormatting sqref="F206:G206">
    <cfRule type="expression" dxfId="152" priority="276">
      <formula>G198&gt;=5</formula>
    </cfRule>
  </conditionalFormatting>
  <conditionalFormatting sqref="C207:E207">
    <cfRule type="expression" dxfId="151" priority="269">
      <formula>G198&gt;=6</formula>
    </cfRule>
  </conditionalFormatting>
  <conditionalFormatting sqref="F207:G207">
    <cfRule type="expression" dxfId="150" priority="268">
      <formula>G198&gt;=6</formula>
    </cfRule>
  </conditionalFormatting>
  <conditionalFormatting sqref="C208:E208">
    <cfRule type="expression" dxfId="149" priority="265">
      <formula>G198&gt;=7</formula>
    </cfRule>
  </conditionalFormatting>
  <conditionalFormatting sqref="F208:G208">
    <cfRule type="expression" dxfId="148" priority="264">
      <formula>G198&gt;=7</formula>
    </cfRule>
  </conditionalFormatting>
  <conditionalFormatting sqref="C209:E209">
    <cfRule type="expression" dxfId="147" priority="261">
      <formula>G198&gt;=8</formula>
    </cfRule>
  </conditionalFormatting>
  <conditionalFormatting sqref="F209:G209">
    <cfRule type="expression" dxfId="146" priority="260">
      <formula>G198&gt;=8</formula>
    </cfRule>
  </conditionalFormatting>
  <conditionalFormatting sqref="C210:E210">
    <cfRule type="expression" dxfId="145" priority="257">
      <formula>G198&gt;=9</formula>
    </cfRule>
  </conditionalFormatting>
  <conditionalFormatting sqref="F210:G210">
    <cfRule type="expression" dxfId="144" priority="256">
      <formula>G198&gt;=9</formula>
    </cfRule>
  </conditionalFormatting>
  <conditionalFormatting sqref="C211:E211">
    <cfRule type="expression" dxfId="143" priority="253">
      <formula>G198&gt;=10</formula>
    </cfRule>
  </conditionalFormatting>
  <conditionalFormatting sqref="F211:G211">
    <cfRule type="expression" dxfId="142" priority="252">
      <formula>G198&gt;=10</formula>
    </cfRule>
  </conditionalFormatting>
  <conditionalFormatting sqref="C212:E212">
    <cfRule type="expression" dxfId="141" priority="249">
      <formula>G198&gt;=11</formula>
    </cfRule>
  </conditionalFormatting>
  <conditionalFormatting sqref="F212:G212">
    <cfRule type="expression" dxfId="140" priority="248">
      <formula>G198&gt;=11</formula>
    </cfRule>
  </conditionalFormatting>
  <conditionalFormatting sqref="C213:E213">
    <cfRule type="expression" dxfId="139" priority="245">
      <formula>G198&gt;=12</formula>
    </cfRule>
  </conditionalFormatting>
  <conditionalFormatting sqref="F213:G213">
    <cfRule type="expression" dxfId="138" priority="244">
      <formula>G198&gt;=12</formula>
    </cfRule>
  </conditionalFormatting>
  <conditionalFormatting sqref="C214:E214">
    <cfRule type="expression" dxfId="137" priority="241">
      <formula>G198&gt;=13</formula>
    </cfRule>
  </conditionalFormatting>
  <conditionalFormatting sqref="F214:G214">
    <cfRule type="expression" dxfId="136" priority="240">
      <formula>G198&gt;=13</formula>
    </cfRule>
  </conditionalFormatting>
  <conditionalFormatting sqref="C215:E215">
    <cfRule type="expression" dxfId="135" priority="237">
      <formula>G198&gt;=14</formula>
    </cfRule>
  </conditionalFormatting>
  <conditionalFormatting sqref="F215:G215">
    <cfRule type="expression" dxfId="134" priority="236">
      <formula>G198&gt;=14</formula>
    </cfRule>
  </conditionalFormatting>
  <conditionalFormatting sqref="C216:E216">
    <cfRule type="expression" dxfId="133" priority="233">
      <formula>G198&gt;=15</formula>
    </cfRule>
  </conditionalFormatting>
  <conditionalFormatting sqref="F216:G216">
    <cfRule type="expression" dxfId="132" priority="232">
      <formula>G198&gt;=15</formula>
    </cfRule>
  </conditionalFormatting>
  <conditionalFormatting sqref="J196:N197">
    <cfRule type="expression" dxfId="131" priority="189">
      <formula>J196&lt;&gt;""</formula>
    </cfRule>
  </conditionalFormatting>
  <conditionalFormatting sqref="CA114">
    <cfRule type="expression" dxfId="130" priority="188">
      <formula>P117&lt;&gt;""</formula>
    </cfRule>
  </conditionalFormatting>
  <conditionalFormatting sqref="CA150">
    <cfRule type="expression" dxfId="129" priority="187">
      <formula>P153&lt;&gt;""</formula>
    </cfRule>
  </conditionalFormatting>
  <conditionalFormatting sqref="CA187">
    <cfRule type="expression" dxfId="128" priority="186">
      <formula>P190&lt;&gt;""</formula>
    </cfRule>
  </conditionalFormatting>
  <conditionalFormatting sqref="C243:G243">
    <cfRule type="expression" dxfId="127" priority="1824">
      <formula>#REF!&gt;=1</formula>
    </cfRule>
  </conditionalFormatting>
  <conditionalFormatting sqref="J43">
    <cfRule type="expression" dxfId="126" priority="1826">
      <formula>AND(G44&lt;&gt;"",G44=0)</formula>
    </cfRule>
  </conditionalFormatting>
  <conditionalFormatting sqref="Q109:W113">
    <cfRule type="expression" dxfId="125" priority="185">
      <formula>P97&lt;&gt;""</formula>
    </cfRule>
  </conditionalFormatting>
  <conditionalFormatting sqref="Q99:R99">
    <cfRule type="expression" dxfId="124" priority="184">
      <formula>$P$97&lt;&gt;""</formula>
    </cfRule>
  </conditionalFormatting>
  <conditionalFormatting sqref="Z100:AF100">
    <cfRule type="expression" dxfId="123" priority="183">
      <formula>Z99="No"</formula>
    </cfRule>
  </conditionalFormatting>
  <conditionalFormatting sqref="Z102:AA102">
    <cfRule type="expression" dxfId="122" priority="182">
      <formula>Z99="Yes"</formula>
    </cfRule>
  </conditionalFormatting>
  <conditionalFormatting sqref="Z104:AF108">
    <cfRule type="expression" dxfId="121" priority="181">
      <formula>Z99="Yes"</formula>
    </cfRule>
  </conditionalFormatting>
  <conditionalFormatting sqref="AI99:AO113">
    <cfRule type="expression" dxfId="120" priority="180">
      <formula>$P$97&lt;&gt;""</formula>
    </cfRule>
  </conditionalFormatting>
  <conditionalFormatting sqref="AR99:AX113">
    <cfRule type="expression" dxfId="119" priority="179">
      <formula>P97&lt;&gt;""</formula>
    </cfRule>
  </conditionalFormatting>
  <conditionalFormatting sqref="BA99">
    <cfRule type="expression" dxfId="118" priority="178">
      <formula>P97&lt;&gt;""</formula>
    </cfRule>
  </conditionalFormatting>
  <conditionalFormatting sqref="BM94:BQ96">
    <cfRule type="expression" dxfId="117" priority="177">
      <formula>P97&lt;&gt;""</formula>
    </cfRule>
  </conditionalFormatting>
  <conditionalFormatting sqref="D353:M353">
    <cfRule type="expression" dxfId="116" priority="119">
      <formula>D353&lt;&gt;""</formula>
    </cfRule>
  </conditionalFormatting>
  <conditionalFormatting sqref="O14">
    <cfRule type="expression" dxfId="115" priority="1829">
      <formula>P14=1</formula>
    </cfRule>
  </conditionalFormatting>
  <conditionalFormatting sqref="H202:H211">
    <cfRule type="expression" dxfId="114" priority="117">
      <formula>G198&gt;=1</formula>
    </cfRule>
  </conditionalFormatting>
  <conditionalFormatting sqref="H203">
    <cfRule type="expression" dxfId="113" priority="83">
      <formula>H203="Yes"</formula>
    </cfRule>
    <cfRule type="expression" dxfId="112" priority="84">
      <formula>H203="No"</formula>
    </cfRule>
    <cfRule type="expression" dxfId="111" priority="116">
      <formula>G198&gt;=2</formula>
    </cfRule>
  </conditionalFormatting>
  <conditionalFormatting sqref="H216">
    <cfRule type="expression" dxfId="110" priority="57">
      <formula>H216="Yes"</formula>
    </cfRule>
    <cfRule type="expression" dxfId="109" priority="70">
      <formula>H216="No"</formula>
    </cfRule>
    <cfRule type="expression" dxfId="108" priority="115">
      <formula>G198&gt;=15</formula>
    </cfRule>
  </conditionalFormatting>
  <conditionalFormatting sqref="H215">
    <cfRule type="expression" dxfId="107" priority="58">
      <formula>H215="Yes"</formula>
    </cfRule>
    <cfRule type="expression" dxfId="106" priority="71">
      <formula>H215="No"</formula>
    </cfRule>
    <cfRule type="expression" dxfId="105" priority="114">
      <formula>G198&gt;=14</formula>
    </cfRule>
  </conditionalFormatting>
  <conditionalFormatting sqref="H214">
    <cfRule type="expression" dxfId="104" priority="59">
      <formula>H214="Yes"</formula>
    </cfRule>
    <cfRule type="expression" dxfId="103" priority="72">
      <formula>H214="No"</formula>
    </cfRule>
    <cfRule type="expression" dxfId="102" priority="113">
      <formula>G198&gt;=13</formula>
    </cfRule>
  </conditionalFormatting>
  <conditionalFormatting sqref="H213">
    <cfRule type="expression" dxfId="101" priority="60">
      <formula>H213="Yes"</formula>
    </cfRule>
    <cfRule type="expression" dxfId="100" priority="73">
      <formula>H213="No"</formula>
    </cfRule>
    <cfRule type="expression" dxfId="99" priority="112">
      <formula>G198&gt;=12</formula>
    </cfRule>
  </conditionalFormatting>
  <conditionalFormatting sqref="H212">
    <cfRule type="expression" dxfId="98" priority="61">
      <formula>H212="Yes"</formula>
    </cfRule>
    <cfRule type="expression" dxfId="97" priority="74">
      <formula>H212="No"</formula>
    </cfRule>
    <cfRule type="expression" dxfId="96" priority="111">
      <formula>G198&gt;=11</formula>
    </cfRule>
  </conditionalFormatting>
  <conditionalFormatting sqref="H211">
    <cfRule type="expression" dxfId="95" priority="62">
      <formula>H211="Yes"</formula>
    </cfRule>
    <cfRule type="expression" dxfId="94" priority="75">
      <formula>H211="No"</formula>
    </cfRule>
    <cfRule type="expression" dxfId="93" priority="110">
      <formula>G198&gt;=10</formula>
    </cfRule>
  </conditionalFormatting>
  <conditionalFormatting sqref="H210">
    <cfRule type="expression" dxfId="92" priority="63">
      <formula>H210="Yes"</formula>
    </cfRule>
    <cfRule type="expression" dxfId="91" priority="76">
      <formula>H210="No"</formula>
    </cfRule>
    <cfRule type="expression" dxfId="90" priority="109">
      <formula>G198&gt;=9</formula>
    </cfRule>
  </conditionalFormatting>
  <conditionalFormatting sqref="H209">
    <cfRule type="expression" dxfId="89" priority="64">
      <formula>H209="Yes"</formula>
    </cfRule>
    <cfRule type="expression" dxfId="88" priority="77">
      <formula>H209="No"</formula>
    </cfRule>
    <cfRule type="expression" dxfId="87" priority="108">
      <formula>G198&gt;=8</formula>
    </cfRule>
  </conditionalFormatting>
  <conditionalFormatting sqref="H208">
    <cfRule type="expression" dxfId="86" priority="65">
      <formula>H208="Yes"</formula>
    </cfRule>
    <cfRule type="expression" dxfId="85" priority="78">
      <formula>H208="No"</formula>
    </cfRule>
    <cfRule type="expression" dxfId="84" priority="107">
      <formula>G198&gt;=7</formula>
    </cfRule>
  </conditionalFormatting>
  <conditionalFormatting sqref="H207">
    <cfRule type="expression" dxfId="83" priority="66">
      <formula>H207="Yes"</formula>
    </cfRule>
    <cfRule type="expression" dxfId="82" priority="79">
      <formula>H207="No"</formula>
    </cfRule>
    <cfRule type="expression" dxfId="81" priority="106">
      <formula>G198&gt;=6</formula>
    </cfRule>
  </conditionalFormatting>
  <conditionalFormatting sqref="H206">
    <cfRule type="expression" dxfId="80" priority="67">
      <formula>H206="Yes"</formula>
    </cfRule>
    <cfRule type="expression" dxfId="79" priority="80">
      <formula>H206="No"</formula>
    </cfRule>
    <cfRule type="expression" dxfId="78" priority="105">
      <formula>G198&gt;=5</formula>
    </cfRule>
  </conditionalFormatting>
  <conditionalFormatting sqref="H205">
    <cfRule type="expression" dxfId="77" priority="68">
      <formula>H205="Yes"</formula>
    </cfRule>
    <cfRule type="expression" dxfId="76" priority="81">
      <formula>H205="No"</formula>
    </cfRule>
    <cfRule type="expression" dxfId="75" priority="104">
      <formula>G198&gt;=4</formula>
    </cfRule>
  </conditionalFormatting>
  <conditionalFormatting sqref="H204">
    <cfRule type="expression" dxfId="74" priority="69">
      <formula>H204="Yes"</formula>
    </cfRule>
    <cfRule type="expression" dxfId="73" priority="82">
      <formula>H204="No"</formula>
    </cfRule>
    <cfRule type="expression" dxfId="72" priority="103">
      <formula>G198&gt;=3</formula>
    </cfRule>
  </conditionalFormatting>
  <conditionalFormatting sqref="O44">
    <cfRule type="expression" dxfId="71" priority="102">
      <formula>P44=1</formula>
    </cfRule>
  </conditionalFormatting>
  <conditionalFormatting sqref="O66">
    <cfRule type="expression" dxfId="70" priority="101">
      <formula>P66=1</formula>
    </cfRule>
  </conditionalFormatting>
  <conditionalFormatting sqref="O61">
    <cfRule type="expression" dxfId="69" priority="100">
      <formula>P61=1</formula>
    </cfRule>
  </conditionalFormatting>
  <conditionalFormatting sqref="O60">
    <cfRule type="expression" dxfId="68" priority="99">
      <formula>P60=1</formula>
    </cfRule>
  </conditionalFormatting>
  <conditionalFormatting sqref="O59">
    <cfRule type="expression" dxfId="67" priority="98">
      <formula>P59=1</formula>
    </cfRule>
  </conditionalFormatting>
  <conditionalFormatting sqref="O56">
    <cfRule type="expression" dxfId="66" priority="97">
      <formula>Q55=1</formula>
    </cfRule>
  </conditionalFormatting>
  <conditionalFormatting sqref="O55">
    <cfRule type="expression" dxfId="65" priority="96">
      <formula>P55=1</formula>
    </cfRule>
  </conditionalFormatting>
  <conditionalFormatting sqref="O54">
    <cfRule type="expression" dxfId="64" priority="95">
      <formula>P54=1</formula>
    </cfRule>
  </conditionalFormatting>
  <conditionalFormatting sqref="O28">
    <cfRule type="expression" dxfId="63" priority="94">
      <formula>P28=1</formula>
    </cfRule>
  </conditionalFormatting>
  <conditionalFormatting sqref="O16">
    <cfRule type="expression" dxfId="62" priority="93">
      <formula>P16=1</formula>
    </cfRule>
  </conditionalFormatting>
  <conditionalFormatting sqref="O18">
    <cfRule type="expression" dxfId="61" priority="92">
      <formula>P18=1</formula>
    </cfRule>
  </conditionalFormatting>
  <conditionalFormatting sqref="O21">
    <cfRule type="expression" dxfId="60" priority="91">
      <formula>P21=1</formula>
    </cfRule>
  </conditionalFormatting>
  <conditionalFormatting sqref="O341">
    <cfRule type="expression" dxfId="59" priority="90">
      <formula>P341=1</formula>
    </cfRule>
  </conditionalFormatting>
  <conditionalFormatting sqref="O343">
    <cfRule type="expression" dxfId="58" priority="89">
      <formula>P343=1</formula>
    </cfRule>
  </conditionalFormatting>
  <conditionalFormatting sqref="O25">
    <cfRule type="expression" dxfId="57" priority="88">
      <formula>P25=1</formula>
    </cfRule>
  </conditionalFormatting>
  <conditionalFormatting sqref="O83">
    <cfRule type="expression" dxfId="56" priority="87">
      <formula>P83=1</formula>
    </cfRule>
  </conditionalFormatting>
  <conditionalFormatting sqref="O84">
    <cfRule type="expression" dxfId="55" priority="86">
      <formula>P84=1</formula>
    </cfRule>
  </conditionalFormatting>
  <conditionalFormatting sqref="O86">
    <cfRule type="expression" dxfId="54" priority="85">
      <formula>P86=1</formula>
    </cfRule>
  </conditionalFormatting>
  <conditionalFormatting sqref="H202">
    <cfRule type="expression" dxfId="53" priority="130">
      <formula>H202="No"</formula>
    </cfRule>
    <cfRule type="expression" dxfId="52" priority="131">
      <formula>H202="Yes"</formula>
    </cfRule>
  </conditionalFormatting>
  <conditionalFormatting sqref="O105">
    <cfRule type="expression" dxfId="51" priority="56">
      <formula>P105=1</formula>
    </cfRule>
  </conditionalFormatting>
  <conditionalFormatting sqref="O106">
    <cfRule type="expression" dxfId="50" priority="55">
      <formula>P106=1</formula>
    </cfRule>
  </conditionalFormatting>
  <conditionalFormatting sqref="O108">
    <cfRule type="expression" dxfId="49" priority="54">
      <formula>P107=1</formula>
    </cfRule>
  </conditionalFormatting>
  <conditionalFormatting sqref="O124">
    <cfRule type="expression" dxfId="48" priority="53">
      <formula>O123=1</formula>
    </cfRule>
  </conditionalFormatting>
  <conditionalFormatting sqref="O145">
    <cfRule type="expression" dxfId="47" priority="52">
      <formula>P145=1</formula>
    </cfRule>
  </conditionalFormatting>
  <conditionalFormatting sqref="B67:N67">
    <cfRule type="expression" dxfId="46" priority="44">
      <formula>AND(N66&gt;=0.7,B67&lt;&gt;"")</formula>
    </cfRule>
    <cfRule type="expression" dxfId="45" priority="45">
      <formula>AND(N66&lt;0.7,B67&lt;&gt;"")</formula>
    </cfRule>
  </conditionalFormatting>
  <conditionalFormatting sqref="E182">
    <cfRule type="expression" dxfId="44" priority="858">
      <formula>AND(E182&lt;100%,E182&lt;&gt;"",B184="")</formula>
    </cfRule>
    <cfRule type="expression" dxfId="43" priority="888">
      <formula>AND($E$182=100%,$B$184="")</formula>
    </cfRule>
  </conditionalFormatting>
  <conditionalFormatting sqref="F182">
    <cfRule type="expression" dxfId="42" priority="35">
      <formula>AND(F182&lt;100%,F182&lt;&gt;"",B184="")</formula>
    </cfRule>
    <cfRule type="expression" dxfId="41" priority="43">
      <formula>AND($F$182=100%,$B$184="")</formula>
    </cfRule>
  </conditionalFormatting>
  <conditionalFormatting sqref="G182">
    <cfRule type="expression" dxfId="40" priority="34">
      <formula>AND(G182&lt;100%,G182&lt;&gt;"",B184="")</formula>
    </cfRule>
    <cfRule type="expression" dxfId="39" priority="42">
      <formula>AND($G$182=100%,$B$184="")</formula>
    </cfRule>
  </conditionalFormatting>
  <conditionalFormatting sqref="H182">
    <cfRule type="expression" dxfId="38" priority="33">
      <formula>AND(H182&lt;100%,H182&lt;&gt;"",B184="")</formula>
    </cfRule>
    <cfRule type="expression" dxfId="37" priority="41">
      <formula>AND($H$182=100%,$B$184="")</formula>
    </cfRule>
  </conditionalFormatting>
  <conditionalFormatting sqref="I182">
    <cfRule type="expression" dxfId="36" priority="32">
      <formula>AND(I182&lt;100%,I182&lt;&gt;"",B184="")</formula>
    </cfRule>
    <cfRule type="expression" dxfId="35" priority="40">
      <formula>AND($I$182=100%,$B$184="")</formula>
    </cfRule>
  </conditionalFormatting>
  <conditionalFormatting sqref="J182">
    <cfRule type="expression" dxfId="34" priority="31">
      <formula>AND(J182&lt;100%,J182&lt;&gt;"",B184="")</formula>
    </cfRule>
    <cfRule type="expression" dxfId="33" priority="39">
      <formula>AND($J$182=100%,$B$184="")</formula>
    </cfRule>
  </conditionalFormatting>
  <conditionalFormatting sqref="K182">
    <cfRule type="expression" dxfId="32" priority="30">
      <formula>AND(K182&lt;100%,K182&lt;&gt;"",B184="")</formula>
    </cfRule>
    <cfRule type="expression" dxfId="31" priority="38">
      <formula>AND($K$182=100%,$B$184="")</formula>
    </cfRule>
  </conditionalFormatting>
  <conditionalFormatting sqref="L182">
    <cfRule type="expression" dxfId="30" priority="29">
      <formula>AND(L182&lt;100%,L182&lt;&gt;"",B184="")</formula>
    </cfRule>
    <cfRule type="expression" dxfId="29" priority="37">
      <formula>AND($L$182=100%,$B$184="")</formula>
    </cfRule>
  </conditionalFormatting>
  <conditionalFormatting sqref="M182">
    <cfRule type="expression" dxfId="28" priority="28">
      <formula>AND(M182&lt;100%,M182&lt;&gt;"",B184="")</formula>
    </cfRule>
    <cfRule type="expression" dxfId="27" priority="36">
      <formula>AND($M$182=100%,$B$184="")</formula>
    </cfRule>
  </conditionalFormatting>
  <conditionalFormatting sqref="O161">
    <cfRule type="expression" dxfId="26" priority="27">
      <formula>O183&lt;&gt;""</formula>
    </cfRule>
  </conditionalFormatting>
  <conditionalFormatting sqref="O182">
    <cfRule type="expression" dxfId="25" priority="26">
      <formula>O182&lt;&gt;""</formula>
    </cfRule>
  </conditionalFormatting>
  <conditionalFormatting sqref="O196">
    <cfRule type="expression" dxfId="24" priority="25">
      <formula>O196&lt;&gt;""</formula>
    </cfRule>
  </conditionalFormatting>
  <conditionalFormatting sqref="O226">
    <cfRule type="expression" dxfId="23" priority="24">
      <formula>O226&lt;&gt;""</formula>
    </cfRule>
  </conditionalFormatting>
  <conditionalFormatting sqref="O329">
    <cfRule type="expression" dxfId="22" priority="23">
      <formula>O329&lt;&gt;""</formula>
    </cfRule>
  </conditionalFormatting>
  <conditionalFormatting sqref="O331">
    <cfRule type="expression" dxfId="21" priority="22">
      <formula>O331&lt;&gt;""</formula>
    </cfRule>
  </conditionalFormatting>
  <conditionalFormatting sqref="O347">
    <cfRule type="expression" dxfId="20" priority="21">
      <formula>O347&lt;&gt;""</formula>
    </cfRule>
  </conditionalFormatting>
  <conditionalFormatting sqref="O73">
    <cfRule type="expression" dxfId="19" priority="20">
      <formula>O73&lt;&gt;""</formula>
    </cfRule>
  </conditionalFormatting>
  <conditionalFormatting sqref="O75">
    <cfRule type="expression" dxfId="18" priority="19">
      <formula>O75&lt;&gt;""</formula>
    </cfRule>
  </conditionalFormatting>
  <conditionalFormatting sqref="E83">
    <cfRule type="expression" dxfId="17" priority="18">
      <formula>AND(E83&gt;E84, E83&lt;&gt;"",E84&lt;&gt;"")</formula>
    </cfRule>
  </conditionalFormatting>
  <conditionalFormatting sqref="E84">
    <cfRule type="expression" dxfId="16" priority="17">
      <formula>AND(E83&gt;E84,E83&lt;&gt;"",E84&lt;&gt;"")</formula>
    </cfRule>
  </conditionalFormatting>
  <conditionalFormatting sqref="F83">
    <cfRule type="expression" dxfId="15" priority="16">
      <formula>AND(F83&gt;F84, F83&lt;&gt;"",F84&lt;&gt;"")</formula>
    </cfRule>
  </conditionalFormatting>
  <conditionalFormatting sqref="F84">
    <cfRule type="expression" dxfId="14" priority="15">
      <formula>AND(F83&gt;F84, F83&lt;&gt;"",F84&lt;&gt;"")</formula>
    </cfRule>
  </conditionalFormatting>
  <conditionalFormatting sqref="G83">
    <cfRule type="expression" dxfId="13" priority="14">
      <formula>AND(G83&gt;G84, G83&lt;&gt;"",G84&lt;&gt;"")</formula>
    </cfRule>
  </conditionalFormatting>
  <conditionalFormatting sqref="G84">
    <cfRule type="expression" dxfId="12" priority="13">
      <formula>AND(G83&gt;G84, G83&lt;&gt;"",G84&lt;&gt;"")</formula>
    </cfRule>
  </conditionalFormatting>
  <conditionalFormatting sqref="H83">
    <cfRule type="expression" dxfId="11" priority="12">
      <formula>AND(H83&gt;H84, H83&lt;&gt;"",H84&lt;&gt;"")</formula>
    </cfRule>
  </conditionalFormatting>
  <conditionalFormatting sqref="H84">
    <cfRule type="expression" dxfId="10" priority="11">
      <formula>AND(H83&gt;H84, H83&lt;&gt;"",H84&lt;&gt;"")</formula>
    </cfRule>
  </conditionalFormatting>
  <conditionalFormatting sqref="I83">
    <cfRule type="expression" dxfId="9" priority="10">
      <formula>AND(I83&gt;I84, I83&lt;&gt;"",I84&lt;&gt;"")</formula>
    </cfRule>
  </conditionalFormatting>
  <conditionalFormatting sqref="I84">
    <cfRule type="expression" dxfId="8" priority="9">
      <formula>AND(I83&gt;I84, I83&lt;&gt;"",I84&lt;&gt;"")</formula>
    </cfRule>
  </conditionalFormatting>
  <conditionalFormatting sqref="J83">
    <cfRule type="expression" dxfId="7" priority="8">
      <formula>AND(J83&gt;J84, J83&lt;&gt;"",J84&lt;&gt;"")</formula>
    </cfRule>
  </conditionalFormatting>
  <conditionalFormatting sqref="J84">
    <cfRule type="expression" dxfId="6" priority="7">
      <formula>AND(J83&gt;J84, J83&lt;&gt;"",J84&lt;&gt;"")</formula>
    </cfRule>
  </conditionalFormatting>
  <conditionalFormatting sqref="K83">
    <cfRule type="expression" dxfId="5" priority="6">
      <formula>AND(K83&gt;K84, K83&lt;&gt;"",K84&lt;&gt;"")</formula>
    </cfRule>
  </conditionalFormatting>
  <conditionalFormatting sqref="K84">
    <cfRule type="expression" dxfId="4" priority="5">
      <formula>AND(K83&gt;K84, K83&lt;&gt;"",K84&lt;&gt;"")</formula>
    </cfRule>
  </conditionalFormatting>
  <conditionalFormatting sqref="L83">
    <cfRule type="expression" dxfId="3" priority="4">
      <formula>AND(L83&gt;L84, L83&lt;&gt;"",L84&lt;&gt;"")</formula>
    </cfRule>
  </conditionalFormatting>
  <conditionalFormatting sqref="L84">
    <cfRule type="expression" dxfId="2" priority="3">
      <formula>AND(L83&gt;L84, L83&lt;&gt;"",L84&lt;&gt;"")</formula>
    </cfRule>
  </conditionalFormatting>
  <conditionalFormatting sqref="M83">
    <cfRule type="expression" dxfId="1" priority="2">
      <formula>AND(M83&gt;M84, M83&lt;&gt;"",M84&lt;&gt;"")</formula>
    </cfRule>
  </conditionalFormatting>
  <conditionalFormatting sqref="M84">
    <cfRule type="expression" dxfId="0" priority="1">
      <formula>AND(M83&gt;M84, M83&lt;&gt;"",M84&lt;&gt;"")</formula>
    </cfRule>
  </conditionalFormatting>
  <dataValidations count="15">
    <dataValidation type="list" allowBlank="1" showInputMessage="1" showErrorMessage="1" sqref="H18 F202:G216">
      <formula1>"AK, AL, AR, AZ, CA, CO, CT, DC, DE, FL, GA, HI, IA, ID, IL, IN, KS, KY, LA, MA, MD, ME, MI, MN, MO, MS, MT, NC, ND, NE, NH, NJ, NM, NV, NY, OH, OK, OR, PA, RI, SC, SD, TN, TX, UT, VA, VT, WA, WI, WV, WY"</formula1>
    </dataValidation>
    <dataValidation type="list" allowBlank="1" showInputMessage="1" showErrorMessage="1" sqref="G298 I307:I321 G300 D300 D302 D298">
      <formula1>"Yes, No"</formula1>
    </dataValidation>
    <dataValidation type="list" allowBlank="1" showInputMessage="1" showErrorMessage="1" sqref="G198">
      <formula1>"1, 2, 3, 4, 5, 6, 7, 8, 9,10,11,12,13,14,15"</formula1>
    </dataValidation>
    <dataValidation type="list" allowBlank="1" showInputMessage="1" showErrorMessage="1" sqref="G73:H73">
      <formula1>"Please Select, National Registry, State"</formula1>
    </dataValidation>
    <dataValidation type="list" allowBlank="1" showInputMessage="1" showErrorMessage="1" sqref="G44:H44">
      <formula1>" Please Select,0,1,2,3,4,5,6,7,8,9"</formula1>
    </dataValidation>
    <dataValidation type="list" allowBlank="1" showInputMessage="1" showErrorMessage="1" sqref="G226:H226 Q53 Q57 Z49 Z55 AE60:AF60 BA57 AI54 AI60 AI49:AJ49 BA49:BB49 AR54:AS54 BA53 AR49:AS49 Z60:AA60">
      <formula1>"Please Select, No, Yes"</formula1>
    </dataValidation>
    <dataValidation type="list" allowBlank="1" showInputMessage="1" showErrorMessage="1" sqref="G228:H228">
      <formula1>"1,2,3,4,5,6,7,8,9,10"</formula1>
    </dataValidation>
    <dataValidation type="list" allowBlank="1" showInputMessage="1" showErrorMessage="1" sqref="Q49:W49">
      <formula1>"Please Select, End of Add/Drop, First Day of Class, IPEDS reported number, Major Code Assigned by Registrar, Other"</formula1>
    </dataValidation>
    <dataValidation type="list" allowBlank="1" showInputMessage="1" showErrorMessage="1" sqref="D21:F21">
      <formula1>"Please Select, Letter of Review, Initial Accreditation, Continuing Accreditation, Probationary Accreditation, Inactive"</formula1>
    </dataValidation>
    <dataValidation type="list" allowBlank="1" showInputMessage="1" showErrorMessage="1" sqref="Q77 S77">
      <formula1>"Please Select, Improving, Steady, Declining"</formula1>
    </dataValidation>
    <dataValidation type="list" allowBlank="1" showInputMessage="1" showErrorMessage="1" sqref="Q80:R80 Q85:R85 Z85:AA85 AI85:AJ85 AR85:AS85 BA77:BB77 BJ77:BK77 BV77:BW77 G329 G331 Z102:AA102 Z99:AA99 G296 G75:H75">
      <formula1>"Please Select, Yes, No"</formula1>
    </dataValidation>
    <dataValidation type="list" allowBlank="1" showInputMessage="1" showErrorMessage="1" sqref="D25">
      <formula1>"Please Select, Yes,No"</formula1>
    </dataValidation>
    <dataValidation type="list" allowBlank="1" showInputMessage="1" showErrorMessage="1" sqref="E237:G237 CF237:CH237 O237 T237 AC237 AM237 AV237 BE237 BW237:BY237 L237 BN237">
      <formula1>"Faculty, Medical Director, Support Personnel, Curriculum, Financial Resources, Facilities, Clinical Resources, Field Internship Resources, Learning Resources, Physician Interaction"</formula1>
    </dataValidation>
    <dataValidation type="list" allowBlank="1" showInputMessage="1" showErrorMessage="1" sqref="G196">
      <formula1>"Please Select,Yes, No"</formula1>
    </dataValidation>
    <dataValidation type="list" allowBlank="1" showInputMessage="1" showErrorMessage="1" sqref="C347">
      <formula1>"Please Select, Yes"</formula1>
    </dataValidation>
  </dataValidations>
  <hyperlinks>
    <hyperlink ref="B294:L294" r:id="rId2" display="http://coaemsp.org/Policy_Procedures.htm"/>
    <hyperlink ref="B223:L223" r:id="rId3" display="http://coaemsp.org/Policy_Procedures.htm"/>
    <hyperlink ref="B223" r:id="rId4"/>
    <hyperlink ref="CA72:CE74" location="'2017 Annual Report'!A101" display="'2017 Annual Report'!A101"/>
    <hyperlink ref="CD232:CI233" location="'2017 Annual Report'!A296" display="'2017 Annual Report'!A296"/>
    <hyperlink ref="BL232:BQ233" location="'2017 Annual Report'!A296" display="'2017 Annual Report'!A296"/>
    <hyperlink ref="AT232:AY233" location="'2017 Annual Report'!A296" display="'2017 Annual Report'!A296"/>
    <hyperlink ref="AB232:AG233" location="'2017 Annual Report'!A296" display="'2017 Annual Report'!A296"/>
    <hyperlink ref="BL42" location="'2017 Annual Report'!A77" display="'2017 Annual Report'!A77"/>
    <hyperlink ref="CA114:CE114" location="'2017 Annual Report'!A124" display="'2017 Annual Report'!A124"/>
    <hyperlink ref="CA150:CE150" location="'2017 Annual Report'!A124" display="'2017 Annual Report'!A124"/>
    <hyperlink ref="CA187:CE187" location="'2017 Annual Report'!A124" display="'2017 Annual Report'!A124"/>
    <hyperlink ref="BM94:BQ96" r:id="rId5" location="'2017 Annual Report'!E126" display="_2018 Annual Report.xlsx - '2017 Annual Report'!E126"/>
    <hyperlink ref="L36" r:id="rId6"/>
  </hyperlinks>
  <printOptions horizontalCentered="1"/>
  <pageMargins left="0.15" right="0.15" top="0.25" bottom="0.25" header="0" footer="0"/>
  <pageSetup scale="57" fitToWidth="0" pageOrder="overThenDown" orientation="landscape" r:id="rId7"/>
  <rowBreaks count="8" manualBreakCount="8">
    <brk id="40" max="13" man="1"/>
    <brk id="70" max="13" man="1"/>
    <brk id="93" max="13" man="1"/>
    <brk id="114" max="13" man="1"/>
    <brk id="150" max="13" man="1"/>
    <brk id="187" max="13" man="1"/>
    <brk id="219" max="13" man="1"/>
    <brk id="288" max="13" man="1"/>
  </rowBreaks>
  <colBreaks count="8" manualBreakCount="8">
    <brk id="14" max="1048575" man="1"/>
    <brk id="33" max="354" man="1"/>
    <brk id="51" min="40" max="68" man="1"/>
    <brk id="51" min="70" max="111" man="1"/>
    <brk id="51" min="230" max="287" man="1"/>
    <brk id="69" max="1048575" man="1"/>
    <brk id="88" max="307" man="1"/>
    <brk id="106" max="307" man="1"/>
  </colBreaks>
  <drawing r:id="rId8"/>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2017 Annual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Collard</dc:creator>
  <cp:lastModifiedBy>Administrator</cp:lastModifiedBy>
  <cp:lastPrinted>2018-02-22T14:43:04Z</cp:lastPrinted>
  <dcterms:created xsi:type="dcterms:W3CDTF">2015-02-14T20:55:58Z</dcterms:created>
  <dcterms:modified xsi:type="dcterms:W3CDTF">2019-03-15T19:16:51Z</dcterms:modified>
</cp:coreProperties>
</file>